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ОТП\ОТП\6. Управление регулирования тарифов и энергетики\Наличие резерва\2024\Наличие резерва за 2 кв. 2024\"/>
    </mc:Choice>
  </mc:AlternateContent>
  <bookViews>
    <workbookView xWindow="0" yWindow="0" windowWidth="28800" windowHeight="11730" tabRatio="870"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Резерв мощности" sheetId="13" state="hidden" r:id="rId13"/>
    <sheet name="ТС. Т-ТН" sheetId="14" state="hidden" r:id="rId14"/>
    <sheet name="ТС. Т-передача ТЭ" sheetId="15" state="hidden" r:id="rId15"/>
    <sheet name="ТС. Т-передача ТН" sheetId="16" state="hidden" r:id="rId16"/>
    <sheet name="ТС. Т-гор.вода" sheetId="17" state="hidden" r:id="rId17"/>
    <sheet name="ТС. Т-подкл" sheetId="18" state="hidden" r:id="rId18"/>
    <sheet name="ХВС. Т-пит" sheetId="19" state="hidden" r:id="rId19"/>
    <sheet name="ХВС. Т-тех" sheetId="20" state="hidden" r:id="rId20"/>
    <sheet name="ХВС. Т-транс" sheetId="21" state="hidden" r:id="rId21"/>
    <sheet name="ХВС. Т-подвоз" sheetId="22" state="hidden" r:id="rId22"/>
    <sheet name="ХВС. Т-подкл" sheetId="23" state="hidden" r:id="rId23"/>
    <sheet name="ВО. Т-во" sheetId="24" state="hidden" r:id="rId24"/>
    <sheet name="ВО. Т-транс" sheetId="25" state="hidden" r:id="rId25"/>
    <sheet name="ВО. Т-подкл" sheetId="26" state="hidden" r:id="rId26"/>
    <sheet name="ГВС. Т-гор.вода" sheetId="27" state="hidden" r:id="rId27"/>
    <sheet name="ГВС. Т-транс" sheetId="28" state="hidden" r:id="rId28"/>
    <sheet name="ГВС. Т-подкл" sheetId="29" state="hidden" r:id="rId29"/>
    <sheet name="Показатели ФХД" sheetId="30" state="hidden" r:id="rId30"/>
    <sheet name="Показатели ФХД &gt;20%" sheetId="31" state="hidden" r:id="rId31"/>
    <sheet name="ТКО. Показатели ФХД" sheetId="32" state="hidden" r:id="rId32"/>
    <sheet name="ТКО. Транс. Показатели ФХД" sheetId="33" state="hidden" r:id="rId33"/>
    <sheet name="Показатели КНЭ" sheetId="34" state="hidden" r:id="rId34"/>
    <sheet name="Ограничения" sheetId="35" state="hidden" r:id="rId35"/>
    <sheet name="ИП" sheetId="36" state="hidden" r:id="rId36"/>
    <sheet name="ИП. Детализация" sheetId="37" state="hidden" r:id="rId37"/>
    <sheet name="ИП. Финансовый план" sheetId="38" state="hidden" r:id="rId38"/>
    <sheet name="ИП. КНЭ" sheetId="39" state="hidden" r:id="rId39"/>
    <sheet name="ТП" sheetId="40" r:id="rId40"/>
    <sheet name="Договоры" sheetId="41" state="hidden" r:id="rId41"/>
    <sheet name="Порядок ТП" sheetId="42" state="hidden" r:id="rId42"/>
    <sheet name="Предложение" sheetId="43" state="hidden" r:id="rId43"/>
    <sheet name="Сведения о закупках" sheetId="44" state="hidden" r:id="rId44"/>
    <sheet name="Потребительские характеристики" sheetId="45" state="hidden" r:id="rId45"/>
    <sheet name="ЭД" sheetId="46" state="hidden" r:id="rId46"/>
    <sheet name="Сведения об изменении" sheetId="47" state="hidden" r:id="rId47"/>
    <sheet name="Орган регулирования" sheetId="48" state="hidden" r:id="rId48"/>
    <sheet name="Перечень организаций" sheetId="49" state="hidden" r:id="rId49"/>
    <sheet name="Дела об установлении тарифов" sheetId="50" state="hidden" r:id="rId50"/>
    <sheet name="Привлечение к ответственности" sheetId="51" state="hidden" r:id="rId51"/>
    <sheet name="Комментарии" sheetId="52" r:id="rId52"/>
    <sheet name="Проверка" sheetId="53" state="hidden" r:id="rId53"/>
    <sheet name="et_union_hor" sheetId="54" state="hidden" r:id="rId54"/>
    <sheet name="TEHSHEET" sheetId="55" state="hidden" r:id="rId55"/>
    <sheet name="DATA_FORMS" sheetId="56" state="hidden" r:id="rId56"/>
    <sheet name="DATA_NPA" sheetId="57" state="hidden" r:id="rId57"/>
    <sheet name="Т-ТЭ | потр" sheetId="58" state="hidden" r:id="rId58"/>
    <sheet name="Т-ТЭ | предел" sheetId="59" state="hidden" r:id="rId59"/>
    <sheet name="Т-ТЭ | индикат" sheetId="60" state="hidden" r:id="rId60"/>
    <sheet name="Т-подкл(инд)" sheetId="61" state="hidden" r:id="rId61"/>
    <sheet name="modMainProcedures" sheetId="62" state="hidden" r:id="rId62"/>
    <sheet name="modB_FHD" sheetId="63" state="hidden" r:id="rId63"/>
    <sheet name="modB_FHD20" sheetId="64" state="hidden" r:id="rId64"/>
    <sheet name="modB_KNE" sheetId="65" state="hidden" r:id="rId65"/>
    <sheet name="modIP_MAIN" sheetId="66" state="hidden" r:id="rId66"/>
    <sheet name="modIP_QRE" sheetId="67" state="hidden" r:id="rId67"/>
    <sheet name="modIP_DETAILED" sheetId="68" state="hidden" r:id="rId68"/>
    <sheet name="et_union_vert" sheetId="69" state="hidden" r:id="rId69"/>
    <sheet name="Легенда" sheetId="70" state="hidden" r:id="rId70"/>
    <sheet name="modfrmListIP" sheetId="71" state="hidden" r:id="rId71"/>
    <sheet name="modfrmActivity" sheetId="72" state="hidden" r:id="rId72"/>
    <sheet name="REESTR_ORG" sheetId="73" state="hidden" r:id="rId73"/>
    <sheet name="REESTR_MO" sheetId="74" state="hidden" r:id="rId74"/>
    <sheet name="REESTR_IP" sheetId="75" state="hidden" r:id="rId75"/>
    <sheet name="REESTR_OBJ_INFR" sheetId="76" state="hidden" r:id="rId76"/>
    <sheet name="REESTR_DS" sheetId="77" state="hidden" r:id="rId77"/>
    <sheet name="REESTR_VT" sheetId="78" state="hidden" r:id="rId78"/>
    <sheet name="REESTR_VED" sheetId="79" state="hidden" r:id="rId79"/>
    <sheet name="REESTR_MO_FILTER" sheetId="80" state="hidden" r:id="rId80"/>
    <sheet name="REESTR_LINK" sheetId="81" state="hidden" r:id="rId81"/>
    <sheet name="modSheetMain" sheetId="82" state="hidden" r:id="rId82"/>
    <sheet name="modfrmReportMode" sheetId="83" state="hidden" r:id="rId83"/>
    <sheet name="modfrmReestrObj" sheetId="84" state="hidden" r:id="rId84"/>
    <sheet name="AllSheetsInThisWorkbook" sheetId="85" state="hidden" r:id="rId85"/>
    <sheet name="modInfo" sheetId="86" state="hidden" r:id="rId86"/>
  </sheets>
  <definedNames>
    <definedName name="_xlnm._FilterDatabase" localSheetId="52">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тарифов'!$64:$88</definedName>
    <definedName name="BLOCK_PT_HEAT">'Перечень тарифов'!$13:$62</definedName>
    <definedName name="BLOCK_PT_HOTVSNA">'Перечень тарифов'!$90:$104</definedName>
    <definedName name="BLOCK_PT_VOTV">'Перечень тарифов'!$106:$120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тарифов'!$Z$12:$Z$122</definedName>
    <definedName name="DIFFERENTIATION_TARIFF_VD_ID">'Перечень тарифов'!$AB$12:$AB$122</definedName>
    <definedName name="DIFFERENTIATION_TARIFF_VTAR_ID">'Перечень тарифов'!$AA$12:$AA$122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et_union_hor!$107:$115</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Т-гор.вода'!$T$53</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тарифов'!$AL$12:$AL$122</definedName>
    <definedName name="PT_DIFFERENTIATION_CS_ID">'Перечень тарифов'!$AF$12:$AF$122</definedName>
    <definedName name="PT_DIFFERENTIATION_IST_TE">'Перечень тарифов'!$AM$12:$AM$122</definedName>
    <definedName name="PT_DIFFERENTIATION_IST_TE_ID">'Перечень тарифов'!$AG$12:$AG$122</definedName>
    <definedName name="PT_DIFFERENTIATION_NTAR">'Перечень тарифов'!$AJ$12:$AJ$122</definedName>
    <definedName name="PT_DIFFERENTIATION_NTAR_ID">'Перечень тарифов'!$AD$12:$AD$122</definedName>
    <definedName name="PT_DIFFERENTIATION_NUM_CS">'Перечень тарифов'!$AP$12:$AP$122</definedName>
    <definedName name="PT_DIFFERENTIATION_NUM_IST_TE">'Перечень тарифов'!$AQ$12:$AQ$122</definedName>
    <definedName name="PT_DIFFERENTIATION_NUM_NTAR">'Перечень тарифов'!$AN$12:$AN$122</definedName>
    <definedName name="PT_DIFFERENTIATION_NUM_TER">'Перечень тарифов'!$AO$12:$AO$122</definedName>
    <definedName name="PT_DIFFERENTIATION_TER">'Перечень тарифов'!$AK$12:$AK$122</definedName>
    <definedName name="PT_DIFFERENTIATION_TER_ID">'Перечень тарифов'!$AE$12:$AE$122</definedName>
    <definedName name="PT_DIFFERENTIATION_VDET">'Перечень тарифов'!$AI$12:$AI$122</definedName>
    <definedName name="PT_DIFFERENTIATION_VTAR">'Перечень тарифов'!$AH$12:$AH$122</definedName>
    <definedName name="PT_DIFFERENTIATION_VTAR_ID">'Перечень тарифов'!$AC$12:$AC$122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REESTR_IP!$A$2:$D$2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62913"/>
</workbook>
</file>

<file path=xl/calcChain.xml><?xml version="1.0" encoding="utf-8"?>
<calcChain xmlns="http://schemas.openxmlformats.org/spreadsheetml/2006/main">
  <c r="R24" i="61" l="1"/>
  <c r="O18" i="61"/>
  <c r="P18" i="61" s="1"/>
  <c r="Q18" i="61" s="1"/>
  <c r="R18" i="61" s="1"/>
  <c r="S18" i="61" s="1"/>
  <c r="T18" i="61" s="1"/>
  <c r="V18" i="61" s="1"/>
  <c r="X18" i="61" s="1"/>
  <c r="O10" i="61"/>
  <c r="O9" i="61"/>
  <c r="O8" i="61"/>
  <c r="O7" i="61"/>
  <c r="AA32" i="60"/>
  <c r="AA31" i="60"/>
  <c r="AA30" i="60"/>
  <c r="AA29" i="60"/>
  <c r="AA28" i="60"/>
  <c r="AA27" i="60"/>
  <c r="AA26" i="60"/>
  <c r="R26" i="60"/>
  <c r="AA25" i="60"/>
  <c r="AA24" i="60"/>
  <c r="AA23" i="60"/>
  <c r="AA22" i="60"/>
  <c r="O22" i="60"/>
  <c r="L22" i="60"/>
  <c r="F23" i="60" s="1"/>
  <c r="G24" i="60" s="1"/>
  <c r="AA21" i="60"/>
  <c r="O21" i="60"/>
  <c r="L21" i="60"/>
  <c r="AA20" i="60"/>
  <c r="O20" i="60"/>
  <c r="L20" i="60"/>
  <c r="AA19" i="60"/>
  <c r="O19" i="60"/>
  <c r="L19" i="60"/>
  <c r="Q18" i="60"/>
  <c r="R18" i="60" s="1"/>
  <c r="S18" i="60" s="1"/>
  <c r="T18" i="60" s="1"/>
  <c r="V18" i="60" s="1"/>
  <c r="W18" i="60" s="1"/>
  <c r="X18" i="60" s="1"/>
  <c r="N18" i="60"/>
  <c r="O18" i="60" s="1"/>
  <c r="O11" i="60"/>
  <c r="O10" i="60"/>
  <c r="O9" i="60"/>
  <c r="O8" i="60"/>
  <c r="L6" i="60"/>
  <c r="AA32" i="59"/>
  <c r="AA31" i="59"/>
  <c r="AA30" i="59"/>
  <c r="AA29" i="59"/>
  <c r="AA28" i="59"/>
  <c r="AA27" i="59"/>
  <c r="AA26" i="59"/>
  <c r="R26" i="59"/>
  <c r="AA25" i="59"/>
  <c r="AA24" i="59"/>
  <c r="AA23" i="59"/>
  <c r="AA22" i="59"/>
  <c r="O22" i="59"/>
  <c r="L22" i="59"/>
  <c r="F23" i="59" s="1"/>
  <c r="G24" i="59" s="1"/>
  <c r="AA21" i="59"/>
  <c r="O21" i="59"/>
  <c r="L21" i="59"/>
  <c r="AA20" i="59"/>
  <c r="O20" i="59"/>
  <c r="L20" i="59"/>
  <c r="AA19" i="59"/>
  <c r="O19" i="59"/>
  <c r="L19" i="59"/>
  <c r="Q18" i="59"/>
  <c r="R18" i="59" s="1"/>
  <c r="S18" i="59" s="1"/>
  <c r="T18" i="59" s="1"/>
  <c r="V18" i="59" s="1"/>
  <c r="W18" i="59" s="1"/>
  <c r="X18" i="59" s="1"/>
  <c r="N18" i="59"/>
  <c r="O18" i="59" s="1"/>
  <c r="O11" i="59"/>
  <c r="O10" i="59"/>
  <c r="O9" i="59"/>
  <c r="O8" i="59"/>
  <c r="L6" i="59"/>
  <c r="AA32" i="58"/>
  <c r="AA31" i="58"/>
  <c r="AA30" i="58"/>
  <c r="AA29" i="58"/>
  <c r="AA28" i="58"/>
  <c r="AA27" i="58"/>
  <c r="AA26" i="58"/>
  <c r="R26" i="58"/>
  <c r="AA25" i="58"/>
  <c r="AA24" i="58"/>
  <c r="AA23" i="58"/>
  <c r="AA22" i="58"/>
  <c r="AA21" i="58"/>
  <c r="AA20" i="58"/>
  <c r="AA19" i="58"/>
  <c r="Q18" i="58"/>
  <c r="R18" i="58" s="1"/>
  <c r="S18" i="58" s="1"/>
  <c r="T18" i="58" s="1"/>
  <c r="V18" i="58" s="1"/>
  <c r="W18" i="58" s="1"/>
  <c r="X18" i="58" s="1"/>
  <c r="N18" i="58"/>
  <c r="O18" i="58" s="1"/>
  <c r="O11" i="58"/>
  <c r="O10" i="58"/>
  <c r="O9" i="58"/>
  <c r="O8" i="58"/>
  <c r="L6" i="58"/>
  <c r="M101" i="57"/>
  <c r="L101" i="57"/>
  <c r="K101" i="57"/>
  <c r="N101" i="57" s="1"/>
  <c r="J101" i="57"/>
  <c r="I101" i="57"/>
  <c r="N100" i="57"/>
  <c r="K100" i="57"/>
  <c r="J100" i="57"/>
  <c r="M100" i="57" s="1"/>
  <c r="I100" i="57"/>
  <c r="L100" i="57" s="1"/>
  <c r="M99" i="57"/>
  <c r="L99" i="57"/>
  <c r="K99" i="57"/>
  <c r="N99" i="57" s="1"/>
  <c r="J99" i="57"/>
  <c r="I99" i="57"/>
  <c r="N98" i="57"/>
  <c r="K98" i="57"/>
  <c r="J98" i="57"/>
  <c r="M98" i="57" s="1"/>
  <c r="I98" i="57"/>
  <c r="L98" i="57" s="1"/>
  <c r="M97" i="57"/>
  <c r="L97" i="57"/>
  <c r="K97" i="57"/>
  <c r="N97" i="57" s="1"/>
  <c r="J97" i="57"/>
  <c r="I97" i="57"/>
  <c r="N96" i="57"/>
  <c r="K96" i="57"/>
  <c r="J96" i="57"/>
  <c r="M96" i="57" s="1"/>
  <c r="I96" i="57"/>
  <c r="L96" i="57" s="1"/>
  <c r="M95" i="57"/>
  <c r="L95" i="57"/>
  <c r="K95" i="57"/>
  <c r="N95" i="57" s="1"/>
  <c r="J95" i="57"/>
  <c r="I95" i="57"/>
  <c r="N94" i="57"/>
  <c r="K94" i="57"/>
  <c r="J94" i="57"/>
  <c r="M94" i="57" s="1"/>
  <c r="I94" i="57"/>
  <c r="L94" i="57" s="1"/>
  <c r="M93" i="57"/>
  <c r="L93" i="57"/>
  <c r="K93" i="57"/>
  <c r="N93" i="57" s="1"/>
  <c r="J93" i="57"/>
  <c r="I93" i="57"/>
  <c r="N92" i="57"/>
  <c r="K92" i="57"/>
  <c r="J92" i="57"/>
  <c r="M92" i="57" s="1"/>
  <c r="I92" i="57"/>
  <c r="L92" i="57" s="1"/>
  <c r="M91" i="57"/>
  <c r="L91" i="57"/>
  <c r="K91" i="57"/>
  <c r="N91" i="57" s="1"/>
  <c r="J91" i="57"/>
  <c r="I91" i="57"/>
  <c r="N90" i="57"/>
  <c r="K90" i="57"/>
  <c r="J90" i="57"/>
  <c r="M90" i="57" s="1"/>
  <c r="I90" i="57"/>
  <c r="L90" i="57" s="1"/>
  <c r="M89" i="57"/>
  <c r="L89" i="57"/>
  <c r="K89" i="57"/>
  <c r="N89" i="57" s="1"/>
  <c r="J89" i="57"/>
  <c r="I89" i="57"/>
  <c r="N88" i="57"/>
  <c r="K88" i="57"/>
  <c r="J88" i="57"/>
  <c r="M88" i="57" s="1"/>
  <c r="I88" i="57"/>
  <c r="L88" i="57" s="1"/>
  <c r="M87" i="57"/>
  <c r="L87" i="57"/>
  <c r="K87" i="57"/>
  <c r="N87" i="57" s="1"/>
  <c r="J87" i="57"/>
  <c r="I87" i="57"/>
  <c r="N86" i="57"/>
  <c r="K86" i="57"/>
  <c r="J86" i="57"/>
  <c r="M86" i="57" s="1"/>
  <c r="I86" i="57"/>
  <c r="L86" i="57" s="1"/>
  <c r="M85" i="57"/>
  <c r="L85" i="57"/>
  <c r="K85" i="57"/>
  <c r="N85" i="57" s="1"/>
  <c r="J85" i="57"/>
  <c r="I85" i="57"/>
  <c r="N84" i="57"/>
  <c r="K84" i="57"/>
  <c r="J84" i="57"/>
  <c r="M84" i="57" s="1"/>
  <c r="I84" i="57"/>
  <c r="L84" i="57" s="1"/>
  <c r="M83" i="57"/>
  <c r="L83" i="57"/>
  <c r="K83" i="57"/>
  <c r="N83" i="57" s="1"/>
  <c r="J83" i="57"/>
  <c r="I83" i="57"/>
  <c r="N82" i="57"/>
  <c r="K82" i="57"/>
  <c r="J82" i="57"/>
  <c r="M82" i="57" s="1"/>
  <c r="I82" i="57"/>
  <c r="L82" i="57" s="1"/>
  <c r="M81" i="57"/>
  <c r="L81" i="57"/>
  <c r="K81" i="57"/>
  <c r="N81" i="57" s="1"/>
  <c r="J81" i="57"/>
  <c r="I81" i="57"/>
  <c r="N80" i="57"/>
  <c r="K80" i="57"/>
  <c r="J80" i="57"/>
  <c r="M80" i="57" s="1"/>
  <c r="I80" i="57"/>
  <c r="L80" i="57" s="1"/>
  <c r="M79" i="57"/>
  <c r="L79" i="57"/>
  <c r="K79" i="57"/>
  <c r="N79" i="57" s="1"/>
  <c r="J79" i="57"/>
  <c r="I79" i="57"/>
  <c r="N78" i="57"/>
  <c r="K78" i="57"/>
  <c r="J78" i="57"/>
  <c r="M78" i="57" s="1"/>
  <c r="I78" i="57"/>
  <c r="L78" i="57" s="1"/>
  <c r="M77" i="57"/>
  <c r="L77" i="57"/>
  <c r="K77" i="57"/>
  <c r="N77" i="57" s="1"/>
  <c r="J77" i="57"/>
  <c r="I77" i="57"/>
  <c r="N76" i="57"/>
  <c r="K76" i="57"/>
  <c r="J76" i="57"/>
  <c r="M76" i="57" s="1"/>
  <c r="I76" i="57"/>
  <c r="L76" i="57" s="1"/>
  <c r="M75" i="57"/>
  <c r="L75" i="57"/>
  <c r="K75" i="57"/>
  <c r="N75" i="57" s="1"/>
  <c r="J75" i="57"/>
  <c r="I75" i="57"/>
  <c r="N74" i="57"/>
  <c r="K74" i="57"/>
  <c r="J74" i="57"/>
  <c r="M74" i="57" s="1"/>
  <c r="I74" i="57"/>
  <c r="L74" i="57" s="1"/>
  <c r="M73" i="57"/>
  <c r="L73" i="57"/>
  <c r="K73" i="57"/>
  <c r="N73" i="57" s="1"/>
  <c r="J73" i="57"/>
  <c r="I73" i="57"/>
  <c r="N72" i="57"/>
  <c r="K72" i="57"/>
  <c r="J72" i="57"/>
  <c r="M72" i="57" s="1"/>
  <c r="I72" i="57"/>
  <c r="L72" i="57" s="1"/>
  <c r="M71" i="57"/>
  <c r="L71" i="57"/>
  <c r="K71" i="57"/>
  <c r="N71" i="57" s="1"/>
  <c r="J71" i="57"/>
  <c r="I71" i="57"/>
  <c r="N70" i="57"/>
  <c r="K70" i="57"/>
  <c r="J70" i="57"/>
  <c r="M70" i="57" s="1"/>
  <c r="I70" i="57"/>
  <c r="L70" i="57" s="1"/>
  <c r="M69" i="57"/>
  <c r="L69" i="57"/>
  <c r="K69" i="57"/>
  <c r="N69" i="57" s="1"/>
  <c r="J69" i="57"/>
  <c r="I69" i="57"/>
  <c r="N68" i="57"/>
  <c r="K68" i="57"/>
  <c r="J68" i="57"/>
  <c r="M68" i="57" s="1"/>
  <c r="I68" i="57"/>
  <c r="L68" i="57" s="1"/>
  <c r="M67" i="57"/>
  <c r="L67" i="57"/>
  <c r="K67" i="57"/>
  <c r="N67" i="57" s="1"/>
  <c r="J67" i="57"/>
  <c r="I67" i="57"/>
  <c r="N66" i="57"/>
  <c r="K66" i="57"/>
  <c r="J66" i="57"/>
  <c r="M66" i="57" s="1"/>
  <c r="I66" i="57"/>
  <c r="L66" i="57" s="1"/>
  <c r="M65" i="57"/>
  <c r="L65" i="57"/>
  <c r="K65" i="57"/>
  <c r="N65" i="57" s="1"/>
  <c r="J65" i="57"/>
  <c r="I65" i="57"/>
  <c r="N64" i="57"/>
  <c r="K64" i="57"/>
  <c r="J64" i="57"/>
  <c r="M64" i="57" s="1"/>
  <c r="I64" i="57"/>
  <c r="L64" i="57" s="1"/>
  <c r="M63" i="57"/>
  <c r="L63" i="57"/>
  <c r="K63" i="57"/>
  <c r="N63" i="57" s="1"/>
  <c r="J63" i="57"/>
  <c r="I63" i="57"/>
  <c r="N62" i="57"/>
  <c r="K62" i="57"/>
  <c r="J62" i="57"/>
  <c r="M62" i="57" s="1"/>
  <c r="I62" i="57"/>
  <c r="L62" i="57" s="1"/>
  <c r="M61" i="57"/>
  <c r="L61" i="57"/>
  <c r="K61" i="57"/>
  <c r="N61" i="57" s="1"/>
  <c r="J61" i="57"/>
  <c r="I61" i="57"/>
  <c r="N60" i="57"/>
  <c r="K60" i="57"/>
  <c r="J60" i="57"/>
  <c r="M60" i="57" s="1"/>
  <c r="I60" i="57"/>
  <c r="L60" i="57" s="1"/>
  <c r="M59" i="57"/>
  <c r="L59" i="57"/>
  <c r="K59" i="57"/>
  <c r="N59" i="57" s="1"/>
  <c r="J59" i="57"/>
  <c r="I59" i="57"/>
  <c r="N58" i="57"/>
  <c r="K58" i="57"/>
  <c r="J58" i="57"/>
  <c r="M58" i="57" s="1"/>
  <c r="I58" i="57"/>
  <c r="L58" i="57" s="1"/>
  <c r="M57" i="57"/>
  <c r="L57" i="57"/>
  <c r="K57" i="57"/>
  <c r="N57" i="57" s="1"/>
  <c r="J57" i="57"/>
  <c r="I57" i="57"/>
  <c r="N56" i="57"/>
  <c r="K56" i="57"/>
  <c r="J56" i="57"/>
  <c r="M56" i="57" s="1"/>
  <c r="I56" i="57"/>
  <c r="L56" i="57" s="1"/>
  <c r="M55" i="57"/>
  <c r="L55" i="57"/>
  <c r="K55" i="57"/>
  <c r="N55" i="57" s="1"/>
  <c r="J55" i="57"/>
  <c r="I55" i="57"/>
  <c r="N54" i="57"/>
  <c r="K54" i="57"/>
  <c r="J54" i="57"/>
  <c r="M54" i="57" s="1"/>
  <c r="I54" i="57"/>
  <c r="L54" i="57" s="1"/>
  <c r="M53" i="57"/>
  <c r="K53" i="57"/>
  <c r="N53" i="57" s="1"/>
  <c r="J53" i="57"/>
  <c r="I53" i="57"/>
  <c r="L53" i="57" s="1"/>
  <c r="E74" i="30" s="1"/>
  <c r="K52" i="57"/>
  <c r="N52" i="57" s="1"/>
  <c r="J52" i="57"/>
  <c r="M52" i="57" s="1"/>
  <c r="I52" i="57"/>
  <c r="L52" i="57" s="1"/>
  <c r="M51" i="57"/>
  <c r="L51" i="57"/>
  <c r="K51" i="57"/>
  <c r="N51" i="57" s="1"/>
  <c r="J51" i="57"/>
  <c r="I51" i="57"/>
  <c r="N50" i="57"/>
  <c r="K50" i="57"/>
  <c r="J50" i="57"/>
  <c r="M50" i="57" s="1"/>
  <c r="I50" i="57"/>
  <c r="L50" i="57" s="1"/>
  <c r="M49" i="57"/>
  <c r="K49" i="57"/>
  <c r="N49" i="57" s="1"/>
  <c r="J49" i="57"/>
  <c r="I49" i="57"/>
  <c r="L49" i="57" s="1"/>
  <c r="E68" i="30" s="1"/>
  <c r="K68" i="30" s="1"/>
  <c r="N48" i="57"/>
  <c r="K48" i="57"/>
  <c r="J48" i="57"/>
  <c r="M48" i="57" s="1"/>
  <c r="I48" i="57"/>
  <c r="L48" i="57" s="1"/>
  <c r="M47" i="57"/>
  <c r="K47" i="57"/>
  <c r="N47" i="57" s="1"/>
  <c r="J47" i="57"/>
  <c r="I47" i="57"/>
  <c r="L47" i="57" s="1"/>
  <c r="K46" i="57"/>
  <c r="N46" i="57" s="1"/>
  <c r="J46" i="57"/>
  <c r="M46" i="57" s="1"/>
  <c r="I46" i="57"/>
  <c r="L46" i="57" s="1"/>
  <c r="M45" i="57"/>
  <c r="K45" i="57"/>
  <c r="N45" i="57" s="1"/>
  <c r="J45" i="57"/>
  <c r="I45" i="57"/>
  <c r="L45" i="57" s="1"/>
  <c r="K44" i="57"/>
  <c r="N44" i="57" s="1"/>
  <c r="J44" i="57"/>
  <c r="M44" i="57" s="1"/>
  <c r="I44" i="57"/>
  <c r="L44" i="57" s="1"/>
  <c r="M43" i="57"/>
  <c r="L43" i="57"/>
  <c r="K43" i="57"/>
  <c r="N43" i="57" s="1"/>
  <c r="J43" i="57"/>
  <c r="I43" i="57"/>
  <c r="N42" i="57"/>
  <c r="M42" i="57"/>
  <c r="K42" i="57"/>
  <c r="J42" i="57"/>
  <c r="I42" i="57"/>
  <c r="L42" i="57" s="1"/>
  <c r="M41" i="57"/>
  <c r="K41" i="57"/>
  <c r="N41" i="57" s="1"/>
  <c r="J41" i="57"/>
  <c r="I41" i="57"/>
  <c r="L41" i="57" s="1"/>
  <c r="K40" i="57"/>
  <c r="N40" i="57" s="1"/>
  <c r="J40" i="57"/>
  <c r="M40" i="57" s="1"/>
  <c r="I40" i="57"/>
  <c r="L40" i="57" s="1"/>
  <c r="M39" i="57"/>
  <c r="L39" i="57"/>
  <c r="K39" i="57"/>
  <c r="N39" i="57" s="1"/>
  <c r="J39" i="57"/>
  <c r="I39" i="57"/>
  <c r="N38" i="57"/>
  <c r="M38" i="57"/>
  <c r="K38" i="57"/>
  <c r="J38" i="57"/>
  <c r="I38" i="57"/>
  <c r="L38" i="57" s="1"/>
  <c r="M37" i="57"/>
  <c r="K37" i="57"/>
  <c r="N37" i="57" s="1"/>
  <c r="J37" i="57"/>
  <c r="I37" i="57"/>
  <c r="L37" i="57" s="1"/>
  <c r="K36" i="57"/>
  <c r="N36" i="57" s="1"/>
  <c r="J36" i="57"/>
  <c r="M36" i="57" s="1"/>
  <c r="I36" i="57"/>
  <c r="L36" i="57" s="1"/>
  <c r="M35" i="57"/>
  <c r="L35" i="57"/>
  <c r="K35" i="57"/>
  <c r="N35" i="57" s="1"/>
  <c r="J35" i="57"/>
  <c r="I35" i="57"/>
  <c r="N34" i="57"/>
  <c r="M34" i="57"/>
  <c r="K34" i="57"/>
  <c r="J34" i="57"/>
  <c r="I34" i="57"/>
  <c r="L34" i="57" s="1"/>
  <c r="L33" i="57"/>
  <c r="K33" i="57"/>
  <c r="N33" i="57" s="1"/>
  <c r="J33" i="57"/>
  <c r="M33" i="57" s="1"/>
  <c r="I33" i="57"/>
  <c r="N32" i="57"/>
  <c r="M32" i="57"/>
  <c r="K32" i="57"/>
  <c r="J32" i="57"/>
  <c r="I32" i="57"/>
  <c r="L32" i="57" s="1"/>
  <c r="L31" i="57"/>
  <c r="K31" i="57"/>
  <c r="N31" i="57" s="1"/>
  <c r="J31" i="57"/>
  <c r="M31" i="57" s="1"/>
  <c r="I31" i="57"/>
  <c r="N30" i="57"/>
  <c r="M30" i="57"/>
  <c r="K30" i="57"/>
  <c r="J30" i="57"/>
  <c r="I30" i="57"/>
  <c r="L30" i="57" s="1"/>
  <c r="L29" i="57"/>
  <c r="K29" i="57"/>
  <c r="N29" i="57" s="1"/>
  <c r="J29" i="57"/>
  <c r="M29" i="57" s="1"/>
  <c r="I29" i="57"/>
  <c r="N28" i="57"/>
  <c r="M28" i="57"/>
  <c r="K28" i="57"/>
  <c r="J28" i="57"/>
  <c r="I28" i="57"/>
  <c r="L28" i="57" s="1"/>
  <c r="L27" i="57"/>
  <c r="K27" i="57"/>
  <c r="N27" i="57" s="1"/>
  <c r="J27" i="57"/>
  <c r="M27" i="57" s="1"/>
  <c r="F46" i="30" s="1"/>
  <c r="I27" i="57"/>
  <c r="N26" i="57"/>
  <c r="M26" i="57"/>
  <c r="K26" i="57"/>
  <c r="J26" i="57"/>
  <c r="I26" i="57"/>
  <c r="L26" i="57" s="1"/>
  <c r="L25" i="57"/>
  <c r="K25" i="57"/>
  <c r="N25" i="57" s="1"/>
  <c r="J25" i="57"/>
  <c r="M25" i="57" s="1"/>
  <c r="I25" i="57"/>
  <c r="N24" i="57"/>
  <c r="M24" i="57"/>
  <c r="K24" i="57"/>
  <c r="J24" i="57"/>
  <c r="I24" i="57"/>
  <c r="L24" i="57" s="1"/>
  <c r="L23" i="57"/>
  <c r="K23" i="57"/>
  <c r="N23" i="57" s="1"/>
  <c r="J23" i="57"/>
  <c r="M23" i="57" s="1"/>
  <c r="I23" i="57"/>
  <c r="N22" i="57"/>
  <c r="M22" i="57"/>
  <c r="K22" i="57"/>
  <c r="J22" i="57"/>
  <c r="I22" i="57"/>
  <c r="L22" i="57" s="1"/>
  <c r="L21" i="57"/>
  <c r="K21" i="57"/>
  <c r="N21" i="57" s="1"/>
  <c r="J21" i="57"/>
  <c r="M21" i="57" s="1"/>
  <c r="I21" i="57"/>
  <c r="N20" i="57"/>
  <c r="M20" i="57"/>
  <c r="K20" i="57"/>
  <c r="J20" i="57"/>
  <c r="I20" i="57"/>
  <c r="L20" i="57" s="1"/>
  <c r="L19" i="57"/>
  <c r="K19" i="57"/>
  <c r="N19" i="57" s="1"/>
  <c r="J19" i="57"/>
  <c r="M19" i="57" s="1"/>
  <c r="I19" i="57"/>
  <c r="N18" i="57"/>
  <c r="M18" i="57"/>
  <c r="K18" i="57"/>
  <c r="J18" i="57"/>
  <c r="I18" i="57"/>
  <c r="L18" i="57" s="1"/>
  <c r="N14" i="57"/>
  <c r="M13" i="57"/>
  <c r="M12" i="57"/>
  <c r="M11" i="57"/>
  <c r="N3" i="57"/>
  <c r="C34" i="56"/>
  <c r="C8" i="56"/>
  <c r="C7" i="56"/>
  <c r="C2" i="56"/>
  <c r="I53" i="55"/>
  <c r="H53" i="55"/>
  <c r="G53" i="55"/>
  <c r="I52" i="55"/>
  <c r="H52" i="55"/>
  <c r="G52" i="55"/>
  <c r="I51" i="55"/>
  <c r="H51" i="55"/>
  <c r="G51" i="55"/>
  <c r="I50" i="55"/>
  <c r="H50" i="55"/>
  <c r="G50" i="55"/>
  <c r="I49" i="55"/>
  <c r="H49" i="55"/>
  <c r="G49" i="55"/>
  <c r="I48" i="55"/>
  <c r="H48" i="55"/>
  <c r="G48" i="55"/>
  <c r="I47" i="55"/>
  <c r="I45" i="55" s="1"/>
  <c r="H47" i="55"/>
  <c r="F32" i="55" s="1"/>
  <c r="G47" i="55"/>
  <c r="E32" i="55" s="1"/>
  <c r="I46" i="55"/>
  <c r="K45" i="55"/>
  <c r="G36" i="55"/>
  <c r="E31" i="56" s="1"/>
  <c r="C31" i="56" s="1"/>
  <c r="F36" i="55"/>
  <c r="U148" i="57" s="1"/>
  <c r="M148" i="57" s="1"/>
  <c r="E12" i="41" s="1"/>
  <c r="L5" i="55"/>
  <c r="L4" i="55"/>
  <c r="L3" i="55"/>
  <c r="L6" i="55" s="1"/>
  <c r="V194" i="54"/>
  <c r="N179" i="54"/>
  <c r="N174" i="54"/>
  <c r="N168" i="54"/>
  <c r="N157" i="54"/>
  <c r="N152" i="54"/>
  <c r="N146" i="54"/>
  <c r="R131" i="54"/>
  <c r="Q131" i="54"/>
  <c r="Q122" i="54"/>
  <c r="H121" i="54"/>
  <c r="H120" i="54"/>
  <c r="H119" i="54"/>
  <c r="Q113" i="54"/>
  <c r="Q110" i="54"/>
  <c r="H109" i="54"/>
  <c r="H108" i="54"/>
  <c r="H107" i="54"/>
  <c r="F101" i="54"/>
  <c r="AD95" i="54"/>
  <c r="AD89" i="54"/>
  <c r="AD84" i="54"/>
  <c r="AD76" i="54"/>
  <c r="F73" i="54"/>
  <c r="P64" i="54"/>
  <c r="I29" i="54"/>
  <c r="I23" i="54"/>
  <c r="O19" i="54"/>
  <c r="M19" i="54" a="1"/>
  <c r="M19" i="54"/>
  <c r="F19" i="54"/>
  <c r="O14" i="54"/>
  <c r="M14" i="54" a="1"/>
  <c r="M14" i="54"/>
  <c r="F14" i="54"/>
  <c r="E14" i="54"/>
  <c r="E13" i="54"/>
  <c r="G13" i="54" s="1"/>
  <c r="S11" i="51" a="1"/>
  <c r="S11" i="51" s="1"/>
  <c r="G11" i="51"/>
  <c r="O9" i="51"/>
  <c r="S2" i="51" a="1"/>
  <c r="S2" i="51" s="1"/>
  <c r="G2" i="51"/>
  <c r="R10" i="50"/>
  <c r="P10" i="50" a="1"/>
  <c r="P10" i="50"/>
  <c r="K8" i="50"/>
  <c r="J8" i="50"/>
  <c r="G8" i="50"/>
  <c r="E5" i="50"/>
  <c r="R2" i="50"/>
  <c r="P2" i="50" a="1"/>
  <c r="P2" i="50"/>
  <c r="P9" i="49"/>
  <c r="N9" i="49" a="1"/>
  <c r="N9" i="49" s="1"/>
  <c r="E5" i="49"/>
  <c r="P2" i="49"/>
  <c r="N2" i="49" a="1"/>
  <c r="N2" i="49" s="1"/>
  <c r="F12" i="48"/>
  <c r="D6" i="48"/>
  <c r="I14" i="45"/>
  <c r="G14" i="45"/>
  <c r="G11" i="45"/>
  <c r="G10" i="45"/>
  <c r="G9" i="45"/>
  <c r="D6" i="45"/>
  <c r="E13" i="44"/>
  <c r="H12" i="44"/>
  <c r="E12" i="44"/>
  <c r="E11" i="44"/>
  <c r="E10" i="44"/>
  <c r="D6" i="44"/>
  <c r="M258" i="43"/>
  <c r="F257" i="43"/>
  <c r="M200" i="43"/>
  <c r="F199" i="43"/>
  <c r="M142" i="43"/>
  <c r="F141" i="43"/>
  <c r="M84" i="43"/>
  <c r="F81" i="43"/>
  <c r="M24" i="43"/>
  <c r="F23" i="43"/>
  <c r="G17" i="43"/>
  <c r="F17" i="43"/>
  <c r="G16" i="43"/>
  <c r="F16" i="43"/>
  <c r="E14" i="43"/>
  <c r="N7" i="43"/>
  <c r="N4" i="43"/>
  <c r="N1" i="43"/>
  <c r="E42" i="42"/>
  <c r="E38" i="42"/>
  <c r="E35" i="42"/>
  <c r="E32" i="42"/>
  <c r="E31" i="42"/>
  <c r="E28" i="42"/>
  <c r="E25" i="42"/>
  <c r="E24" i="42"/>
  <c r="D15" i="42"/>
  <c r="G17" i="41"/>
  <c r="E16" i="41"/>
  <c r="G14" i="41"/>
  <c r="E13" i="41"/>
  <c r="D6" i="41"/>
  <c r="F21" i="40"/>
  <c r="G19" i="40"/>
  <c r="F19" i="40"/>
  <c r="I18" i="40"/>
  <c r="E17" i="40"/>
  <c r="E16" i="40"/>
  <c r="E15" i="40"/>
  <c r="H14" i="40"/>
  <c r="G14" i="40"/>
  <c r="G11" i="40"/>
  <c r="G10" i="40"/>
  <c r="G9" i="40"/>
  <c r="D6" i="40"/>
  <c r="F2" i="40"/>
  <c r="F6" i="39"/>
  <c r="H57" i="38"/>
  <c r="H56" i="38"/>
  <c r="H55" i="38"/>
  <c r="I54" i="38"/>
  <c r="H54" i="38"/>
  <c r="H53" i="38"/>
  <c r="H52" i="38"/>
  <c r="H51" i="38"/>
  <c r="H50" i="38"/>
  <c r="I49" i="38"/>
  <c r="I48" i="38" s="1"/>
  <c r="H48" i="38" s="1"/>
  <c r="H49" i="38"/>
  <c r="H47" i="38"/>
  <c r="H46" i="38"/>
  <c r="H45" i="38"/>
  <c r="I44" i="38"/>
  <c r="H44" i="38" s="1"/>
  <c r="H43" i="38"/>
  <c r="H42" i="38"/>
  <c r="H41" i="38"/>
  <c r="H40" i="38"/>
  <c r="I39" i="38"/>
  <c r="H39" i="38" s="1"/>
  <c r="H35" i="38"/>
  <c r="H34" i="38"/>
  <c r="H33" i="38"/>
  <c r="I32" i="38"/>
  <c r="H32" i="38"/>
  <c r="H31" i="38"/>
  <c r="H30" i="38"/>
  <c r="H29" i="38"/>
  <c r="I28" i="38"/>
  <c r="H28" i="38" s="1"/>
  <c r="H27" i="38"/>
  <c r="H26" i="38"/>
  <c r="H25" i="38"/>
  <c r="H24" i="38"/>
  <c r="H23" i="38"/>
  <c r="H22" i="38"/>
  <c r="H21" i="38"/>
  <c r="H20" i="38"/>
  <c r="H19" i="38"/>
  <c r="H18" i="38"/>
  <c r="H17" i="38"/>
  <c r="H16" i="38"/>
  <c r="I15" i="38"/>
  <c r="H15" i="38" s="1"/>
  <c r="H11" i="38"/>
  <c r="F6" i="38"/>
  <c r="F6" i="37"/>
  <c r="H15" i="36"/>
  <c r="F6" i="36"/>
  <c r="G28" i="35"/>
  <c r="G27" i="35"/>
  <c r="G26" i="35"/>
  <c r="D23" i="35"/>
  <c r="D22" i="35"/>
  <c r="D14" i="35"/>
  <c r="D13" i="35"/>
  <c r="D11" i="35"/>
  <c r="D10" i="35"/>
  <c r="D9" i="35"/>
  <c r="D7" i="35"/>
  <c r="D6" i="35"/>
  <c r="D4" i="35"/>
  <c r="D3" i="35"/>
  <c r="J12" i="34"/>
  <c r="I12" i="34"/>
  <c r="H12" i="34"/>
  <c r="G12" i="34"/>
  <c r="G9" i="34"/>
  <c r="G8" i="34"/>
  <c r="G7" i="34"/>
  <c r="D4" i="34"/>
  <c r="D3" i="34"/>
  <c r="E28" i="33"/>
  <c r="I27" i="33"/>
  <c r="I16" i="33" s="1"/>
  <c r="H27" i="33"/>
  <c r="H16" i="33"/>
  <c r="H12" i="33"/>
  <c r="H11" i="33"/>
  <c r="H10" i="33"/>
  <c r="E7" i="33"/>
  <c r="E33" i="32"/>
  <c r="I32" i="32"/>
  <c r="I16" i="32" s="1"/>
  <c r="H32" i="32"/>
  <c r="H16" i="32"/>
  <c r="H12" i="32"/>
  <c r="H11" i="32"/>
  <c r="H10" i="32"/>
  <c r="E7" i="32"/>
  <c r="V20" i="31"/>
  <c r="Q20" i="31"/>
  <c r="V17" i="31"/>
  <c r="Q17" i="31"/>
  <c r="E6" i="31"/>
  <c r="E5" i="31"/>
  <c r="J130" i="30"/>
  <c r="F130" i="30"/>
  <c r="E130" i="30"/>
  <c r="J129" i="30"/>
  <c r="F129" i="30"/>
  <c r="E129" i="30"/>
  <c r="J128" i="30"/>
  <c r="F128" i="30"/>
  <c r="E128" i="30"/>
  <c r="J127" i="30"/>
  <c r="F127" i="30"/>
  <c r="E127" i="30"/>
  <c r="J126" i="30"/>
  <c r="F126" i="30"/>
  <c r="E126" i="30"/>
  <c r="J123" i="30"/>
  <c r="F123" i="30"/>
  <c r="E123" i="30"/>
  <c r="E124" i="30" s="1"/>
  <c r="J120" i="30"/>
  <c r="F120" i="30"/>
  <c r="E120" i="30"/>
  <c r="E121" i="30" s="1"/>
  <c r="J117" i="30"/>
  <c r="F117" i="30"/>
  <c r="E117" i="30"/>
  <c r="E118" i="30" s="1"/>
  <c r="J116" i="30"/>
  <c r="F116" i="30"/>
  <c r="E116" i="30"/>
  <c r="J115" i="30"/>
  <c r="F115" i="30"/>
  <c r="E115" i="30"/>
  <c r="J114" i="30"/>
  <c r="F114" i="30"/>
  <c r="E114" i="30"/>
  <c r="J113" i="30"/>
  <c r="F113" i="30"/>
  <c r="E113" i="30"/>
  <c r="J112" i="30"/>
  <c r="F112" i="30"/>
  <c r="E112" i="30"/>
  <c r="J111" i="30"/>
  <c r="F111" i="30"/>
  <c r="E111" i="30"/>
  <c r="J110" i="30"/>
  <c r="F110" i="30"/>
  <c r="E110" i="30"/>
  <c r="J109" i="30"/>
  <c r="F109" i="30"/>
  <c r="E109" i="30"/>
  <c r="J108" i="30"/>
  <c r="F108" i="30"/>
  <c r="E108" i="30"/>
  <c r="J107" i="30"/>
  <c r="F107" i="30"/>
  <c r="E107" i="30"/>
  <c r="J106" i="30"/>
  <c r="F106" i="30"/>
  <c r="E106" i="30"/>
  <c r="J105" i="30"/>
  <c r="F105" i="30"/>
  <c r="E105" i="30"/>
  <c r="J104" i="30"/>
  <c r="F104" i="30"/>
  <c r="E104" i="30"/>
  <c r="J103" i="30"/>
  <c r="F103" i="30"/>
  <c r="E103" i="30"/>
  <c r="J102" i="30"/>
  <c r="F102" i="30"/>
  <c r="E102" i="30"/>
  <c r="E100" i="30"/>
  <c r="J99" i="30"/>
  <c r="F99" i="30"/>
  <c r="E99" i="30"/>
  <c r="J98" i="30"/>
  <c r="F98" i="30"/>
  <c r="E98" i="30"/>
  <c r="J97" i="30"/>
  <c r="F97" i="30"/>
  <c r="E97" i="30"/>
  <c r="J96" i="30"/>
  <c r="F96" i="30"/>
  <c r="E96" i="30"/>
  <c r="J95" i="30"/>
  <c r="F95" i="30"/>
  <c r="E95" i="30"/>
  <c r="J94" i="30"/>
  <c r="F94" i="30"/>
  <c r="E94" i="30"/>
  <c r="J93" i="30"/>
  <c r="F93" i="30"/>
  <c r="E93" i="30"/>
  <c r="J92" i="30"/>
  <c r="F92" i="30"/>
  <c r="E92" i="30"/>
  <c r="J91" i="30"/>
  <c r="F91" i="30"/>
  <c r="E91" i="30"/>
  <c r="J90" i="30"/>
  <c r="F90" i="30"/>
  <c r="E90" i="30"/>
  <c r="J89" i="30"/>
  <c r="F89" i="30"/>
  <c r="E89" i="30"/>
  <c r="J88" i="30"/>
  <c r="F88" i="30"/>
  <c r="E88" i="30"/>
  <c r="J87" i="30"/>
  <c r="I87" i="30"/>
  <c r="H87" i="30"/>
  <c r="F87" i="30"/>
  <c r="E87" i="30"/>
  <c r="J86" i="30"/>
  <c r="F86" i="30"/>
  <c r="E86" i="30"/>
  <c r="J85" i="30"/>
  <c r="F85" i="30"/>
  <c r="E85" i="30"/>
  <c r="J84" i="30"/>
  <c r="F84" i="30"/>
  <c r="E84" i="30"/>
  <c r="J83" i="30"/>
  <c r="F83" i="30"/>
  <c r="E83" i="30"/>
  <c r="J82" i="30"/>
  <c r="F82" i="30"/>
  <c r="E82" i="30"/>
  <c r="J81" i="30"/>
  <c r="F81" i="30"/>
  <c r="E81" i="30"/>
  <c r="J80" i="30"/>
  <c r="F80" i="30"/>
  <c r="E80" i="30"/>
  <c r="J79" i="30"/>
  <c r="F79" i="30"/>
  <c r="E79" i="30"/>
  <c r="J78" i="30"/>
  <c r="F78" i="30"/>
  <c r="E78" i="30"/>
  <c r="J77" i="30"/>
  <c r="F77" i="30"/>
  <c r="E77" i="30"/>
  <c r="J76" i="30"/>
  <c r="F76" i="30"/>
  <c r="E76" i="30"/>
  <c r="J75" i="30"/>
  <c r="F75" i="30"/>
  <c r="E75" i="30"/>
  <c r="J74" i="30"/>
  <c r="F74" i="30"/>
  <c r="J73" i="30"/>
  <c r="F73" i="30"/>
  <c r="E73" i="30"/>
  <c r="J72" i="30"/>
  <c r="F72" i="30"/>
  <c r="E72" i="30"/>
  <c r="J69" i="30"/>
  <c r="I69" i="30"/>
  <c r="H69" i="30"/>
  <c r="F69" i="30"/>
  <c r="E69" i="30"/>
  <c r="E70" i="30" s="1"/>
  <c r="K70" i="30" s="1"/>
  <c r="J68" i="30"/>
  <c r="L68" i="30" s="1"/>
  <c r="F68" i="30"/>
  <c r="K67" i="30"/>
  <c r="J67" i="30"/>
  <c r="F67" i="30"/>
  <c r="E67" i="30"/>
  <c r="L66" i="30"/>
  <c r="J66" i="30"/>
  <c r="F66" i="30"/>
  <c r="E66" i="30"/>
  <c r="K66" i="30" s="1"/>
  <c r="J65" i="30"/>
  <c r="F65" i="30"/>
  <c r="E65" i="30"/>
  <c r="K65" i="30" s="1"/>
  <c r="J64" i="30"/>
  <c r="F64" i="30"/>
  <c r="E64" i="30"/>
  <c r="K64" i="30" s="1"/>
  <c r="J63" i="30"/>
  <c r="F63" i="30"/>
  <c r="E63" i="30"/>
  <c r="K63" i="30" s="1"/>
  <c r="J62" i="30"/>
  <c r="F62" i="30"/>
  <c r="E62" i="30"/>
  <c r="K62" i="30" s="1"/>
  <c r="J61" i="30"/>
  <c r="F61" i="30"/>
  <c r="E61" i="30"/>
  <c r="K61" i="30" s="1"/>
  <c r="J60" i="30"/>
  <c r="F60" i="30"/>
  <c r="E60" i="30"/>
  <c r="K60" i="30" s="1"/>
  <c r="J59" i="30"/>
  <c r="F59" i="30"/>
  <c r="E59" i="30"/>
  <c r="K59" i="30" s="1"/>
  <c r="J58" i="30"/>
  <c r="F58" i="30"/>
  <c r="E58" i="30"/>
  <c r="K58" i="30" s="1"/>
  <c r="J57" i="30"/>
  <c r="F57" i="30"/>
  <c r="E57" i="30"/>
  <c r="K57" i="30" s="1"/>
  <c r="J56" i="30"/>
  <c r="F56" i="30"/>
  <c r="E56" i="30"/>
  <c r="K56" i="30" s="1"/>
  <c r="J55" i="30"/>
  <c r="F55" i="30"/>
  <c r="E55" i="30"/>
  <c r="K55" i="30" s="1"/>
  <c r="J54" i="30"/>
  <c r="F54" i="30"/>
  <c r="E54" i="30"/>
  <c r="K54" i="30" s="1"/>
  <c r="J53" i="30"/>
  <c r="F53" i="30"/>
  <c r="E53" i="30"/>
  <c r="K53" i="30" s="1"/>
  <c r="J52" i="30"/>
  <c r="F52" i="30"/>
  <c r="E52" i="30"/>
  <c r="K52" i="30" s="1"/>
  <c r="J51" i="30"/>
  <c r="F51" i="30"/>
  <c r="E51" i="30"/>
  <c r="K51" i="30" s="1"/>
  <c r="J50" i="30"/>
  <c r="F50" i="30"/>
  <c r="E50" i="30"/>
  <c r="K50" i="30" s="1"/>
  <c r="J49" i="30"/>
  <c r="F49" i="30"/>
  <c r="E49" i="30"/>
  <c r="K49" i="30" s="1"/>
  <c r="J48" i="30"/>
  <c r="F48" i="30"/>
  <c r="E48" i="30"/>
  <c r="K48" i="30" s="1"/>
  <c r="J47" i="30"/>
  <c r="F47" i="30"/>
  <c r="E47" i="30"/>
  <c r="K47" i="30" s="1"/>
  <c r="J46" i="30"/>
  <c r="E46" i="30"/>
  <c r="K46" i="30" s="1"/>
  <c r="J45" i="30"/>
  <c r="F45" i="30"/>
  <c r="E45" i="30"/>
  <c r="K45" i="30" s="1"/>
  <c r="J44" i="30"/>
  <c r="F44" i="30"/>
  <c r="E44" i="30"/>
  <c r="K44" i="30" s="1"/>
  <c r="J43" i="30"/>
  <c r="F43" i="30"/>
  <c r="E43" i="30"/>
  <c r="K43" i="30" s="1"/>
  <c r="J42" i="30"/>
  <c r="F42" i="30"/>
  <c r="E42" i="30"/>
  <c r="K42" i="30" s="1"/>
  <c r="J41" i="30"/>
  <c r="F41" i="30"/>
  <c r="E41" i="30"/>
  <c r="K41" i="30" s="1"/>
  <c r="K40" i="30"/>
  <c r="K39" i="30"/>
  <c r="K38" i="30"/>
  <c r="K37" i="30"/>
  <c r="K36" i="30"/>
  <c r="K35" i="30"/>
  <c r="K34" i="30"/>
  <c r="B34" i="30"/>
  <c r="K33" i="30"/>
  <c r="J33" i="30"/>
  <c r="I33" i="30"/>
  <c r="H33" i="30"/>
  <c r="F33" i="30"/>
  <c r="E33" i="30"/>
  <c r="J32" i="30"/>
  <c r="F32" i="30"/>
  <c r="E32" i="30"/>
  <c r="K32" i="30" s="1"/>
  <c r="J31" i="30"/>
  <c r="F31" i="30"/>
  <c r="E31" i="30"/>
  <c r="J30" i="30"/>
  <c r="F30" i="30"/>
  <c r="E30" i="30"/>
  <c r="H27" i="30"/>
  <c r="H26" i="30"/>
  <c r="H25" i="30"/>
  <c r="E22" i="30"/>
  <c r="E7" i="30"/>
  <c r="E6" i="30"/>
  <c r="E5" i="30"/>
  <c r="E4" i="30"/>
  <c r="I3" i="30"/>
  <c r="H3" i="30"/>
  <c r="E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AC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J6" i="28" s="1"/>
  <c r="S6"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J6" i="27"/>
  <c r="S6" i="27" s="1"/>
  <c r="AN5" i="27"/>
  <c r="I5" i="27"/>
  <c r="S5"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S48" i="26"/>
  <c r="K52" i="26" s="1"/>
  <c r="S52" i="26" s="1"/>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3" i="25"/>
  <c r="AN52" i="25"/>
  <c r="AN51" i="25"/>
  <c r="AN50" i="25"/>
  <c r="AN49" i="25"/>
  <c r="AN48" i="25"/>
  <c r="AN47" i="25"/>
  <c r="AE47" i="25"/>
  <c r="X47" i="25"/>
  <c r="AN46" i="25"/>
  <c r="AK46" i="25"/>
  <c r="AN45" i="25"/>
  <c r="AN44" i="25"/>
  <c r="AN43" i="25"/>
  <c r="AN42" i="25"/>
  <c r="AN41" i="25"/>
  <c r="AK41" i="25"/>
  <c r="S41" i="25"/>
  <c r="U40" i="25"/>
  <c r="V40" i="25" s="1"/>
  <c r="W40" i="25" s="1"/>
  <c r="X40" i="25" s="1"/>
  <c r="Y40" i="25" s="1"/>
  <c r="Z40" i="25" s="1"/>
  <c r="AB40" i="25" s="1"/>
  <c r="AC40" i="25" s="1"/>
  <c r="AD40" i="25" s="1"/>
  <c r="AE40" i="25" s="1"/>
  <c r="AF40" i="25" s="1"/>
  <c r="AG40" i="25" s="1"/>
  <c r="AI40" i="25" s="1"/>
  <c r="AJ40" i="25" s="1"/>
  <c r="AK40" i="25" s="1"/>
  <c r="AC33" i="25"/>
  <c r="V33" i="25"/>
  <c r="AC32" i="25"/>
  <c r="V32" i="25"/>
  <c r="AC30" i="25"/>
  <c r="V30" i="25"/>
  <c r="AC29" i="25"/>
  <c r="V29" i="25"/>
  <c r="AC28" i="25"/>
  <c r="V28" i="25"/>
  <c r="AC27" i="25"/>
  <c r="V27" i="25"/>
  <c r="S25" i="25"/>
  <c r="S24" i="25"/>
  <c r="AE16" i="25"/>
  <c r="AN13" i="25"/>
  <c r="AN12" i="25"/>
  <c r="AN11" i="25"/>
  <c r="AN10" i="25"/>
  <c r="AN9" i="25"/>
  <c r="AN8" i="25"/>
  <c r="AE8" i="25"/>
  <c r="X8" i="25"/>
  <c r="AN7" i="25"/>
  <c r="AK7" i="25"/>
  <c r="K7" i="25"/>
  <c r="S7" i="25" s="1"/>
  <c r="AN6" i="25"/>
  <c r="J6" i="25"/>
  <c r="S6" i="25" s="1"/>
  <c r="AN5" i="25"/>
  <c r="S5" i="25"/>
  <c r="AN4" i="25"/>
  <c r="AC4" i="25"/>
  <c r="S4" i="25"/>
  <c r="I5" i="25" s="1"/>
  <c r="AN3" i="25"/>
  <c r="AC3" i="25"/>
  <c r="S3" i="25"/>
  <c r="AN2" i="25"/>
  <c r="AK2" i="25"/>
  <c r="AC2" i="25"/>
  <c r="S2" i="25"/>
  <c r="AN53" i="24"/>
  <c r="AN52" i="24"/>
  <c r="AN51" i="24"/>
  <c r="AN50" i="24"/>
  <c r="AN49" i="24"/>
  <c r="AN48" i="24"/>
  <c r="AN47" i="24"/>
  <c r="AE47" i="24"/>
  <c r="X47" i="24"/>
  <c r="AN46" i="24"/>
  <c r="AK46" i="24"/>
  <c r="AN45" i="24"/>
  <c r="AN44" i="24"/>
  <c r="AN43" i="24"/>
  <c r="AN42" i="24"/>
  <c r="AC42" i="24"/>
  <c r="AN41" i="24"/>
  <c r="AK41" i="24"/>
  <c r="S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BF63" i="23"/>
  <c r="BF62" i="23"/>
  <c r="BF61" i="23"/>
  <c r="BF60" i="23"/>
  <c r="BF59" i="23"/>
  <c r="BF58" i="23"/>
  <c r="BF57" i="23"/>
  <c r="BF56" i="23"/>
  <c r="BB56" i="23"/>
  <c r="AW56" i="23"/>
  <c r="AU56" i="23"/>
  <c r="Y56" i="23"/>
  <c r="W56" i="23"/>
  <c r="BF52" i="23"/>
  <c r="BF51" i="23"/>
  <c r="J51" i="23"/>
  <c r="BF50" i="23"/>
  <c r="I50" i="23"/>
  <c r="BF49" i="23"/>
  <c r="BF48" i="23"/>
  <c r="BF47" i="23"/>
  <c r="BF46" i="23"/>
  <c r="BC46" i="23"/>
  <c r="AW45" i="23"/>
  <c r="AX45" i="23" s="1"/>
  <c r="AY45" i="23" s="1"/>
  <c r="BA45" i="23" s="1"/>
  <c r="BB45" i="23" s="1"/>
  <c r="BC45" i="23" s="1"/>
  <c r="U45" i="23"/>
  <c r="V45" i="23" s="1"/>
  <c r="W45" i="23" s="1"/>
  <c r="X45" i="23" s="1"/>
  <c r="Y45" i="23" s="1"/>
  <c r="Z45" i="23" s="1"/>
  <c r="AA45" i="23" s="1"/>
  <c r="AC45" i="23" s="1"/>
  <c r="AD45" i="23" s="1"/>
  <c r="AD37" i="23"/>
  <c r="V37" i="23"/>
  <c r="AD36" i="23"/>
  <c r="V36" i="23"/>
  <c r="AD34" i="23"/>
  <c r="V34" i="23"/>
  <c r="AD33" i="23"/>
  <c r="V33" i="23"/>
  <c r="AD32" i="23"/>
  <c r="V32" i="23"/>
  <c r="AD31" i="23"/>
  <c r="V31" i="23"/>
  <c r="S29" i="23"/>
  <c r="S28" i="23"/>
  <c r="BF18" i="23"/>
  <c r="BF17" i="23"/>
  <c r="BF16" i="23"/>
  <c r="BF15" i="23"/>
  <c r="BF14" i="23"/>
  <c r="BF13" i="23"/>
  <c r="BF12" i="23"/>
  <c r="BB12" i="23"/>
  <c r="AW12" i="23"/>
  <c r="AU12" i="23"/>
  <c r="Y12" i="23"/>
  <c r="W12" i="23"/>
  <c r="BF8" i="23"/>
  <c r="BF7" i="23"/>
  <c r="J7" i="23"/>
  <c r="BF6" i="23"/>
  <c r="I6" i="23"/>
  <c r="BF5" i="23"/>
  <c r="BF4" i="23"/>
  <c r="AD4" i="23"/>
  <c r="S4" i="23"/>
  <c r="K8" i="23" s="1"/>
  <c r="S8" i="23" s="1"/>
  <c r="BF3" i="23"/>
  <c r="AD3" i="23"/>
  <c r="S3" i="23"/>
  <c r="BF2" i="23"/>
  <c r="BC2" i="23"/>
  <c r="AD2" i="23"/>
  <c r="S2" i="23"/>
  <c r="AN53" i="22"/>
  <c r="AN52" i="22"/>
  <c r="AN51" i="22"/>
  <c r="AN50" i="22"/>
  <c r="AN49" i="22"/>
  <c r="AN48" i="22"/>
  <c r="AN47" i="22"/>
  <c r="AE47" i="22"/>
  <c r="X47" i="22"/>
  <c r="AN46" i="22"/>
  <c r="AK46" i="22"/>
  <c r="AN45" i="22"/>
  <c r="AN44" i="22"/>
  <c r="AN43" i="22"/>
  <c r="S43" i="22"/>
  <c r="I44" i="22" s="1"/>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S5" i="22" s="1"/>
  <c r="AN4" i="22"/>
  <c r="AC4" i="22"/>
  <c r="S4" i="22"/>
  <c r="AN3" i="22"/>
  <c r="AC3" i="22"/>
  <c r="S3" i="22"/>
  <c r="AN2" i="22"/>
  <c r="AK2" i="22"/>
  <c r="AC2" i="22"/>
  <c r="S2" i="22"/>
  <c r="AN53" i="21"/>
  <c r="AN52" i="21"/>
  <c r="AN51" i="21"/>
  <c r="AN50" i="21"/>
  <c r="AN49" i="21"/>
  <c r="AN48" i="21"/>
  <c r="AN47" i="21"/>
  <c r="AE47" i="21"/>
  <c r="X47" i="21"/>
  <c r="AN46" i="21"/>
  <c r="AK46" i="21"/>
  <c r="AN45" i="21"/>
  <c r="AN44" i="21"/>
  <c r="AN43" i="21"/>
  <c r="AC43" i="21"/>
  <c r="AN42" i="21"/>
  <c r="S42" i="21"/>
  <c r="AN41" i="21"/>
  <c r="AK41" i="21"/>
  <c r="S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N53" i="20"/>
  <c r="AN52" i="20"/>
  <c r="AN51" i="20"/>
  <c r="AN50" i="20"/>
  <c r="AN49" i="20"/>
  <c r="AN48" i="20"/>
  <c r="AN47" i="20"/>
  <c r="AE47" i="20"/>
  <c r="X47" i="20"/>
  <c r="AN46" i="20"/>
  <c r="AK46" i="20"/>
  <c r="AN45" i="20"/>
  <c r="AN44" i="20"/>
  <c r="AN43" i="20"/>
  <c r="AN42" i="20"/>
  <c r="AN41" i="20"/>
  <c r="AK41" i="20"/>
  <c r="AC41" i="20"/>
  <c r="U40" i="20"/>
  <c r="V40" i="20" s="1"/>
  <c r="W40" i="20" s="1"/>
  <c r="X40" i="20" s="1"/>
  <c r="Y40" i="20" s="1"/>
  <c r="Z40" i="20" s="1"/>
  <c r="AB40" i="20" s="1"/>
  <c r="AC40" i="20" s="1"/>
  <c r="AD40" i="20" s="1"/>
  <c r="AE40" i="20" s="1"/>
  <c r="AF40" i="20" s="1"/>
  <c r="AG40" i="20" s="1"/>
  <c r="AI40" i="20" s="1"/>
  <c r="AJ40" i="20" s="1"/>
  <c r="AK40" i="20" s="1"/>
  <c r="AC33" i="20"/>
  <c r="V33" i="20"/>
  <c r="AC32" i="20"/>
  <c r="V32" i="20"/>
  <c r="AC30" i="20"/>
  <c r="V30" i="20"/>
  <c r="AC29" i="20"/>
  <c r="V29" i="20"/>
  <c r="AC28" i="20"/>
  <c r="V28" i="20"/>
  <c r="AC27" i="20"/>
  <c r="V27" i="20"/>
  <c r="S25" i="20"/>
  <c r="S24" i="20"/>
  <c r="AE16" i="20"/>
  <c r="AN13" i="20"/>
  <c r="AN12" i="20"/>
  <c r="AN11" i="20"/>
  <c r="AN10" i="20"/>
  <c r="AN9" i="20"/>
  <c r="AN8" i="20"/>
  <c r="AE8" i="20"/>
  <c r="X8" i="20"/>
  <c r="AN7" i="20"/>
  <c r="AK7" i="20"/>
  <c r="AN6" i="20"/>
  <c r="AN5" i="20"/>
  <c r="AN4" i="20"/>
  <c r="AC4" i="20"/>
  <c r="S4" i="20"/>
  <c r="I5" i="20" s="1"/>
  <c r="AN3" i="20"/>
  <c r="AC3" i="20"/>
  <c r="S3" i="20"/>
  <c r="AN2" i="20"/>
  <c r="AK2" i="20"/>
  <c r="AC2" i="20"/>
  <c r="S2" i="20"/>
  <c r="AN53" i="19"/>
  <c r="AN52" i="19"/>
  <c r="AN51" i="19"/>
  <c r="AN50" i="19"/>
  <c r="AN49" i="19"/>
  <c r="AN48" i="19"/>
  <c r="AN47" i="19"/>
  <c r="AE47" i="19"/>
  <c r="X47" i="19"/>
  <c r="AN46" i="19"/>
  <c r="AK46" i="19"/>
  <c r="AN45" i="19"/>
  <c r="AN44" i="19"/>
  <c r="AN43" i="19"/>
  <c r="AN42" i="19"/>
  <c r="AN41" i="19"/>
  <c r="AK41" i="19"/>
  <c r="U40" i="19"/>
  <c r="V40" i="19" s="1"/>
  <c r="W40" i="19" s="1"/>
  <c r="X40" i="19" s="1"/>
  <c r="Y40" i="19" s="1"/>
  <c r="Z40" i="19" s="1"/>
  <c r="AB40" i="19" s="1"/>
  <c r="AC40" i="19" s="1"/>
  <c r="AD40" i="19" s="1"/>
  <c r="AE40" i="19" s="1"/>
  <c r="AF40" i="19" s="1"/>
  <c r="AG40" i="19" s="1"/>
  <c r="AI40" i="19" s="1"/>
  <c r="AJ40" i="19" s="1"/>
  <c r="AK40" i="19" s="1"/>
  <c r="AC33" i="19"/>
  <c r="V33" i="19"/>
  <c r="AC32" i="19"/>
  <c r="V32" i="19"/>
  <c r="AC30" i="19"/>
  <c r="V30" i="19"/>
  <c r="AC29" i="19"/>
  <c r="V29" i="19"/>
  <c r="AC28" i="19"/>
  <c r="V28" i="19"/>
  <c r="AC27" i="19"/>
  <c r="V27" i="19"/>
  <c r="S25" i="19"/>
  <c r="S24" i="19"/>
  <c r="AE16" i="19"/>
  <c r="AN13" i="19"/>
  <c r="AN12" i="19"/>
  <c r="AN11" i="19"/>
  <c r="AN10" i="19"/>
  <c r="AN9" i="19"/>
  <c r="AN8" i="19"/>
  <c r="AE8" i="19"/>
  <c r="X8" i="19"/>
  <c r="AN7" i="19"/>
  <c r="AK7" i="19"/>
  <c r="AN6" i="19"/>
  <c r="J6" i="19"/>
  <c r="S6" i="19" s="1"/>
  <c r="AN5" i="19"/>
  <c r="I5" i="19"/>
  <c r="S5" i="19" s="1"/>
  <c r="AN4" i="19"/>
  <c r="AC4" i="19"/>
  <c r="S4" i="19"/>
  <c r="AN3" i="19"/>
  <c r="AC3" i="19"/>
  <c r="S3" i="19"/>
  <c r="AN2" i="19"/>
  <c r="AK2" i="19"/>
  <c r="AC2" i="19"/>
  <c r="S2" i="19"/>
  <c r="AX62" i="18"/>
  <c r="AX61" i="18"/>
  <c r="AX60" i="18"/>
  <c r="AX59" i="18"/>
  <c r="AX58" i="18"/>
  <c r="AX57" i="18"/>
  <c r="AX56" i="18"/>
  <c r="AX55" i="18"/>
  <c r="AX54" i="18"/>
  <c r="AO54" i="18"/>
  <c r="W54" i="18"/>
  <c r="AX51" i="18"/>
  <c r="AX50" i="18"/>
  <c r="AX49" i="18"/>
  <c r="AX48" i="18"/>
  <c r="AX47" i="18"/>
  <c r="AX46" i="18"/>
  <c r="AX45" i="18"/>
  <c r="AU45" i="18"/>
  <c r="AB45" i="18"/>
  <c r="AN44" i="18"/>
  <c r="AO44" i="18" s="1"/>
  <c r="AP44" i="18" s="1"/>
  <c r="AQ44" i="18" s="1"/>
  <c r="AS44" i="18" s="1"/>
  <c r="AT44" i="18" s="1"/>
  <c r="AU44" i="18" s="1"/>
  <c r="U44" i="18"/>
  <c r="V44" i="18" s="1"/>
  <c r="W44" i="18" s="1"/>
  <c r="X44" i="18" s="1"/>
  <c r="Y44" i="18" s="1"/>
  <c r="AA44" i="18" s="1"/>
  <c r="AB44" i="18" s="1"/>
  <c r="AB36" i="18"/>
  <c r="V36" i="18"/>
  <c r="AB35" i="18"/>
  <c r="V35" i="18"/>
  <c r="AB33" i="18"/>
  <c r="V33" i="18"/>
  <c r="AB32" i="18"/>
  <c r="V32" i="18"/>
  <c r="AB31" i="18"/>
  <c r="V31" i="18"/>
  <c r="AB30" i="18"/>
  <c r="V30" i="18"/>
  <c r="S28" i="18"/>
  <c r="S27" i="18"/>
  <c r="AX17" i="18"/>
  <c r="AX16" i="18"/>
  <c r="AX15" i="18"/>
  <c r="AX14" i="18"/>
  <c r="AX13" i="18"/>
  <c r="AX12" i="18"/>
  <c r="AX11" i="18"/>
  <c r="AO11" i="18"/>
  <c r="W11" i="18"/>
  <c r="AX8" i="18"/>
  <c r="AX7" i="18"/>
  <c r="J7" i="18"/>
  <c r="AX6" i="18"/>
  <c r="AX5" i="18"/>
  <c r="AB5" i="18"/>
  <c r="S5" i="18"/>
  <c r="K8" i="18" s="1"/>
  <c r="S8" i="18" s="1"/>
  <c r="AX4" i="18"/>
  <c r="AB4" i="18"/>
  <c r="S4" i="18"/>
  <c r="AX3" i="18"/>
  <c r="AB3" i="18"/>
  <c r="S3" i="18"/>
  <c r="AX2" i="18"/>
  <c r="AB2" i="18"/>
  <c r="S2" i="18"/>
  <c r="AT65" i="17"/>
  <c r="AT64" i="17"/>
  <c r="AT63" i="17"/>
  <c r="AT62" i="17"/>
  <c r="AT61" i="17"/>
  <c r="AT60" i="17"/>
  <c r="AT59" i="17"/>
  <c r="AT58" i="17"/>
  <c r="AT57" i="17"/>
  <c r="AK57" i="17"/>
  <c r="AB57" i="17"/>
  <c r="AT56" i="17"/>
  <c r="AT55" i="17"/>
  <c r="AT54" i="17"/>
  <c r="AT53" i="17"/>
  <c r="AT52" i="17"/>
  <c r="AG52" i="17"/>
  <c r="AT51" i="17"/>
  <c r="U51" i="17"/>
  <c r="AT50" i="17"/>
  <c r="AT49" i="17"/>
  <c r="AQ49" i="17"/>
  <c r="AJ48" i="17"/>
  <c r="AK48" i="17" s="1"/>
  <c r="AL48" i="17" s="1"/>
  <c r="AM48" i="17" s="1"/>
  <c r="AO48" i="17" s="1"/>
  <c r="AP48" i="17" s="1"/>
  <c r="AQ48" i="17" s="1"/>
  <c r="AA48" i="17"/>
  <c r="AB48" i="17" s="1"/>
  <c r="AC48" i="17" s="1"/>
  <c r="AD48" i="17" s="1"/>
  <c r="AF48" i="17" s="1"/>
  <c r="AG48" i="17" s="1"/>
  <c r="W48" i="17"/>
  <c r="X48" i="17" s="1"/>
  <c r="AG39" i="17"/>
  <c r="X39" i="17"/>
  <c r="AG38" i="17"/>
  <c r="X38" i="17"/>
  <c r="AG36" i="17"/>
  <c r="X36" i="17"/>
  <c r="AG35" i="17"/>
  <c r="X35" i="17"/>
  <c r="AG34" i="17"/>
  <c r="X34" i="17"/>
  <c r="AG33" i="17"/>
  <c r="X33" i="17"/>
  <c r="U31" i="17"/>
  <c r="U30" i="17"/>
  <c r="AK22" i="17"/>
  <c r="AT17" i="17"/>
  <c r="AT16" i="17"/>
  <c r="AT15" i="17"/>
  <c r="AT14" i="17"/>
  <c r="AT13" i="17"/>
  <c r="AT12" i="17"/>
  <c r="AT10" i="17"/>
  <c r="AK10" i="17"/>
  <c r="AB10" i="17"/>
  <c r="AT8" i="17"/>
  <c r="AT7" i="17"/>
  <c r="AT6" i="17"/>
  <c r="AT5" i="17"/>
  <c r="AG5" i="17"/>
  <c r="U5" i="17"/>
  <c r="I6" i="17" s="1"/>
  <c r="J7" i="17" s="1"/>
  <c r="AT4" i="17"/>
  <c r="AG4" i="17"/>
  <c r="U4" i="17"/>
  <c r="AT3" i="17"/>
  <c r="AG3" i="17"/>
  <c r="U3" i="17"/>
  <c r="AT2" i="17"/>
  <c r="AG2" i="17"/>
  <c r="U2" i="17"/>
  <c r="AP57" i="16"/>
  <c r="AP56" i="16"/>
  <c r="AP55" i="16"/>
  <c r="AP54" i="16"/>
  <c r="AP53" i="16"/>
  <c r="AP52" i="16"/>
  <c r="AP51" i="16"/>
  <c r="AP50" i="16"/>
  <c r="AG50" i="16"/>
  <c r="Y50" i="16"/>
  <c r="AP49" i="16"/>
  <c r="AP48" i="16"/>
  <c r="AP47" i="16"/>
  <c r="AP46" i="16"/>
  <c r="AP45" i="16"/>
  <c r="AP44" i="16"/>
  <c r="AP43" i="16"/>
  <c r="AM43" i="16"/>
  <c r="AD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D44" i="15"/>
  <c r="AP43" i="15"/>
  <c r="AM43" i="15"/>
  <c r="AD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J7"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D44" i="14"/>
  <c r="AP43" i="14"/>
  <c r="AM43" i="14"/>
  <c r="AD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J7"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J7" i="13"/>
  <c r="AP6" i="13"/>
  <c r="I6" i="13"/>
  <c r="S6" i="13" s="1"/>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D45" i="12"/>
  <c r="AP44" i="12"/>
  <c r="AP43" i="12"/>
  <c r="AM43" i="12"/>
  <c r="S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S6" i="12"/>
  <c r="AP5" i="12"/>
  <c r="AD5" i="12"/>
  <c r="S5" i="12"/>
  <c r="I6" i="12" s="1"/>
  <c r="J7" i="12" s="1"/>
  <c r="AP4" i="12"/>
  <c r="AD4" i="12"/>
  <c r="S4" i="12"/>
  <c r="AP3" i="12"/>
  <c r="AD3" i="12"/>
  <c r="S3" i="12"/>
  <c r="AP2" i="12"/>
  <c r="AD2" i="12"/>
  <c r="S2" i="12"/>
  <c r="AP57" i="11"/>
  <c r="AP56" i="11"/>
  <c r="AP55" i="11"/>
  <c r="AP54" i="11"/>
  <c r="AP53" i="11"/>
  <c r="AP52" i="11"/>
  <c r="AP51" i="11"/>
  <c r="AP50" i="11"/>
  <c r="AG50" i="11"/>
  <c r="Y50" i="11"/>
  <c r="AP49" i="11"/>
  <c r="AP48" i="11"/>
  <c r="AP47" i="11"/>
  <c r="AP46" i="11"/>
  <c r="S46" i="11"/>
  <c r="I47" i="11" s="1"/>
  <c r="J48" i="11" s="1"/>
  <c r="AP45" i="11"/>
  <c r="S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J7" i="11"/>
  <c r="AP6" i="11"/>
  <c r="I6" i="11"/>
  <c r="S6" i="11" s="1"/>
  <c r="AP5" i="11"/>
  <c r="AD5" i="11"/>
  <c r="S5" i="11"/>
  <c r="AP4" i="11"/>
  <c r="AD4" i="11"/>
  <c r="S4" i="11"/>
  <c r="AP3" i="11"/>
  <c r="AD3" i="11"/>
  <c r="S3" i="11"/>
  <c r="AP2" i="11"/>
  <c r="AD2" i="11"/>
  <c r="S2" i="11"/>
  <c r="G15" i="10"/>
  <c r="E5" i="10"/>
  <c r="E11" i="9"/>
  <c r="D7" i="9"/>
  <c r="F13" i="8"/>
  <c r="E13" i="8"/>
  <c r="F8" i="8"/>
  <c r="E8" i="8"/>
  <c r="D5" i="8"/>
  <c r="D4" i="8"/>
  <c r="D53" i="7"/>
  <c r="D52" i="7"/>
  <c r="G50" i="7"/>
  <c r="E45" i="7"/>
  <c r="G44" i="7"/>
  <c r="E43" i="7"/>
  <c r="G42" i="7"/>
  <c r="E42" i="7"/>
  <c r="G38" i="7"/>
  <c r="E38" i="7"/>
  <c r="E37" i="7"/>
  <c r="E36" i="7"/>
  <c r="G35" i="7"/>
  <c r="E35" i="7"/>
  <c r="G34" i="7"/>
  <c r="E34" i="7"/>
  <c r="D34" i="7"/>
  <c r="G33" i="7"/>
  <c r="E33" i="7"/>
  <c r="D33" i="7"/>
  <c r="E32" i="7"/>
  <c r="D32" i="7"/>
  <c r="D36" i="7" s="1"/>
  <c r="D37" i="7" s="1"/>
  <c r="D38" i="7" s="1"/>
  <c r="A32" i="7"/>
  <c r="G28" i="7"/>
  <c r="G27" i="7"/>
  <c r="G26" i="7"/>
  <c r="E18" i="7"/>
  <c r="G17" i="7"/>
  <c r="E17" i="7"/>
  <c r="G16" i="7"/>
  <c r="E16" i="7"/>
  <c r="F15" i="7"/>
  <c r="F14" i="7"/>
  <c r="G13" i="7"/>
  <c r="E13" i="7"/>
  <c r="E12" i="7"/>
  <c r="F11" i="7"/>
  <c r="D5" i="7"/>
  <c r="D5" i="6"/>
  <c r="AQ116" i="5"/>
  <c r="AP116" i="5"/>
  <c r="AO116" i="5"/>
  <c r="S47" i="26" s="1"/>
  <c r="AN116" i="5"/>
  <c r="S46" i="26" s="1"/>
  <c r="AM116" i="5"/>
  <c r="AL116" i="5"/>
  <c r="AD48" i="26" s="1"/>
  <c r="AK116" i="5"/>
  <c r="AD47" i="26" s="1"/>
  <c r="AJ116" i="5"/>
  <c r="AI116" i="5"/>
  <c r="AH116" i="5"/>
  <c r="AQ111" i="5"/>
  <c r="AP111" i="5"/>
  <c r="S43" i="25" s="1"/>
  <c r="I44" i="25" s="1"/>
  <c r="AO111" i="5"/>
  <c r="S42" i="25" s="1"/>
  <c r="AN111" i="5"/>
  <c r="AM111" i="5"/>
  <c r="AL111" i="5"/>
  <c r="AC43" i="25" s="1"/>
  <c r="AK111" i="5"/>
  <c r="AC42" i="25" s="1"/>
  <c r="AJ111" i="5"/>
  <c r="AI111" i="5"/>
  <c r="AH111" i="5"/>
  <c r="AQ106" i="5"/>
  <c r="AP106" i="5"/>
  <c r="S43" i="24" s="1"/>
  <c r="I44" i="24" s="1"/>
  <c r="AO106" i="5"/>
  <c r="S42" i="24" s="1"/>
  <c r="AN106" i="5"/>
  <c r="AM106" i="5"/>
  <c r="AL106" i="5"/>
  <c r="AC43" i="24" s="1"/>
  <c r="AK106" i="5"/>
  <c r="AJ106" i="5"/>
  <c r="AI106" i="5"/>
  <c r="AH106" i="5"/>
  <c r="AQ100" i="5"/>
  <c r="AP100" i="5"/>
  <c r="S48" i="29" s="1"/>
  <c r="K52" i="29" s="1"/>
  <c r="S52" i="29" s="1"/>
  <c r="AO100" i="5"/>
  <c r="S47" i="29" s="1"/>
  <c r="AN100" i="5"/>
  <c r="S46" i="29" s="1"/>
  <c r="AM100" i="5"/>
  <c r="AL100" i="5"/>
  <c r="AD48" i="29" s="1"/>
  <c r="AK100" i="5"/>
  <c r="AD47" i="29" s="1"/>
  <c r="AJ100" i="5"/>
  <c r="AI100" i="5"/>
  <c r="AH100" i="5"/>
  <c r="AQ95" i="5"/>
  <c r="AP95" i="5"/>
  <c r="AO95" i="5"/>
  <c r="AN95" i="5"/>
  <c r="AM95" i="5"/>
  <c r="AL95" i="5"/>
  <c r="AK95" i="5"/>
  <c r="AJ95" i="5"/>
  <c r="AI95" i="5"/>
  <c r="AH95" i="5"/>
  <c r="AQ90" i="5"/>
  <c r="AP90" i="5"/>
  <c r="AO90" i="5"/>
  <c r="AN90" i="5"/>
  <c r="S41" i="27" s="1"/>
  <c r="AM90" i="5"/>
  <c r="AL90" i="5"/>
  <c r="AC43" i="27" s="1"/>
  <c r="AK90" i="5"/>
  <c r="AJ90" i="5"/>
  <c r="AI90" i="5"/>
  <c r="AH90" i="5"/>
  <c r="AQ84" i="5"/>
  <c r="AP84" i="5"/>
  <c r="S48" i="23" s="1"/>
  <c r="K52" i="23" s="1"/>
  <c r="S52" i="23" s="1"/>
  <c r="AO84" i="5"/>
  <c r="S47" i="23" s="1"/>
  <c r="AN84" i="5"/>
  <c r="S46" i="23" s="1"/>
  <c r="AM84" i="5"/>
  <c r="AL84" i="5"/>
  <c r="AD48" i="23" s="1"/>
  <c r="AK84" i="5"/>
  <c r="AD47" i="23" s="1"/>
  <c r="AJ84" i="5"/>
  <c r="AD46" i="23" s="1"/>
  <c r="AI84" i="5"/>
  <c r="AH84" i="5"/>
  <c r="AQ79" i="5"/>
  <c r="AP79" i="5"/>
  <c r="AO79" i="5"/>
  <c r="S42" i="22" s="1"/>
  <c r="AN79" i="5"/>
  <c r="S41" i="22" s="1"/>
  <c r="AM79" i="5"/>
  <c r="AL79" i="5"/>
  <c r="AC43" i="22" s="1"/>
  <c r="AK79" i="5"/>
  <c r="AC42" i="22" s="1"/>
  <c r="AJ79" i="5"/>
  <c r="AI79" i="5"/>
  <c r="AH79" i="5"/>
  <c r="AQ74" i="5"/>
  <c r="AP74" i="5"/>
  <c r="S43" i="21" s="1"/>
  <c r="I44" i="21" s="1"/>
  <c r="AO74" i="5"/>
  <c r="AN74" i="5"/>
  <c r="AM74" i="5"/>
  <c r="AL74" i="5"/>
  <c r="AK74" i="5"/>
  <c r="AC42" i="21" s="1"/>
  <c r="AJ74" i="5"/>
  <c r="AC41" i="21" s="1"/>
  <c r="AI74" i="5"/>
  <c r="AH74" i="5"/>
  <c r="AQ69" i="5"/>
  <c r="AP69" i="5"/>
  <c r="S43" i="20" s="1"/>
  <c r="I44" i="20" s="1"/>
  <c r="AO69" i="5"/>
  <c r="S42" i="20" s="1"/>
  <c r="AN69" i="5"/>
  <c r="S41" i="20" s="1"/>
  <c r="AM69" i="5"/>
  <c r="AL69" i="5"/>
  <c r="AC43" i="20" s="1"/>
  <c r="AK69" i="5"/>
  <c r="AC42" i="20" s="1"/>
  <c r="AJ69" i="5"/>
  <c r="AI69" i="5"/>
  <c r="AH69" i="5"/>
  <c r="AQ64" i="5"/>
  <c r="AP64" i="5"/>
  <c r="S43" i="19" s="1"/>
  <c r="I44" i="19" s="1"/>
  <c r="AO64" i="5"/>
  <c r="S42" i="19" s="1"/>
  <c r="AN64" i="5"/>
  <c r="S41" i="19" s="1"/>
  <c r="AM64" i="5"/>
  <c r="AL64" i="5"/>
  <c r="AC43" i="19" s="1"/>
  <c r="AK64" i="5"/>
  <c r="AC42" i="19" s="1"/>
  <c r="AJ64" i="5"/>
  <c r="AI64" i="5"/>
  <c r="AH64" i="5"/>
  <c r="AQ48" i="5"/>
  <c r="S48" i="18" s="1"/>
  <c r="AP48" i="5"/>
  <c r="S47" i="18" s="1"/>
  <c r="AO48" i="5"/>
  <c r="S46" i="18" s="1"/>
  <c r="AN48" i="5"/>
  <c r="S45" i="18" s="1"/>
  <c r="AM48" i="5"/>
  <c r="AB48" i="18" s="1"/>
  <c r="AL48" i="5"/>
  <c r="AB47" i="18" s="1"/>
  <c r="AK48" i="5"/>
  <c r="AB46" i="18" s="1"/>
  <c r="AJ48" i="5"/>
  <c r="AI48" i="5"/>
  <c r="AH48" i="5"/>
  <c r="AQ43" i="5"/>
  <c r="S46" i="13" s="1"/>
  <c r="I47" i="13" s="1"/>
  <c r="AP43" i="5"/>
  <c r="S45" i="13" s="1"/>
  <c r="AO43" i="5"/>
  <c r="S44" i="13" s="1"/>
  <c r="AN43" i="5"/>
  <c r="S43" i="13" s="1"/>
  <c r="AM43" i="5"/>
  <c r="AD46" i="13" s="1"/>
  <c r="AL43" i="5"/>
  <c r="AD45" i="13" s="1"/>
  <c r="AK43" i="5"/>
  <c r="AD44" i="13" s="1"/>
  <c r="AJ43" i="5"/>
  <c r="AD43" i="13" s="1"/>
  <c r="AI43" i="5"/>
  <c r="AH43" i="5"/>
  <c r="AQ38" i="5"/>
  <c r="S46" i="16" s="1"/>
  <c r="AP38" i="5"/>
  <c r="S45" i="16" s="1"/>
  <c r="AO38" i="5"/>
  <c r="S44" i="16" s="1"/>
  <c r="AN38" i="5"/>
  <c r="S43" i="16" s="1"/>
  <c r="AM38" i="5"/>
  <c r="AD46" i="16" s="1"/>
  <c r="AL38" i="5"/>
  <c r="AD45" i="16" s="1"/>
  <c r="AK38" i="5"/>
  <c r="AD44" i="16" s="1"/>
  <c r="AJ38" i="5"/>
  <c r="AI38" i="5"/>
  <c r="AH38" i="5"/>
  <c r="AQ33" i="5"/>
  <c r="S46" i="15" s="1"/>
  <c r="AP33" i="5"/>
  <c r="S45" i="15" s="1"/>
  <c r="AO33" i="5"/>
  <c r="S44" i="15" s="1"/>
  <c r="AN33" i="5"/>
  <c r="S43" i="15" s="1"/>
  <c r="AM33" i="5"/>
  <c r="AD46" i="15" s="1"/>
  <c r="AL33" i="5"/>
  <c r="AD45" i="15" s="1"/>
  <c r="AK33" i="5"/>
  <c r="AJ33" i="5"/>
  <c r="AI33" i="5"/>
  <c r="AH33" i="5"/>
  <c r="AQ28" i="5"/>
  <c r="U52" i="17" s="1"/>
  <c r="I53" i="17" s="1"/>
  <c r="J54" i="17" s="1"/>
  <c r="AP28" i="5"/>
  <c r="AO28" i="5"/>
  <c r="U50" i="17" s="1"/>
  <c r="AN28" i="5"/>
  <c r="U49" i="17" s="1"/>
  <c r="AM28" i="5"/>
  <c r="AL28" i="5"/>
  <c r="AG51" i="17" s="1"/>
  <c r="AK28" i="5"/>
  <c r="AG50" i="17" s="1"/>
  <c r="AJ28" i="5"/>
  <c r="AI28" i="5"/>
  <c r="AH28" i="5"/>
  <c r="AQ23" i="5"/>
  <c r="AP23" i="5"/>
  <c r="L21" i="58" s="1"/>
  <c r="AO23" i="5"/>
  <c r="L20" i="58" s="1"/>
  <c r="AN23" i="5"/>
  <c r="L19" i="58" s="1"/>
  <c r="AM23" i="5"/>
  <c r="AL23" i="5"/>
  <c r="O21" i="58" s="1"/>
  <c r="AK23" i="5"/>
  <c r="O20" i="58" s="1"/>
  <c r="AJ23" i="5"/>
  <c r="AI23" i="5"/>
  <c r="AH23" i="5"/>
  <c r="AQ18" i="5"/>
  <c r="S46" i="12" s="1"/>
  <c r="I47" i="12" s="1"/>
  <c r="S47" i="12" s="1"/>
  <c r="AP18" i="5"/>
  <c r="S45" i="12" s="1"/>
  <c r="AO18" i="5"/>
  <c r="S44" i="12" s="1"/>
  <c r="AN18" i="5"/>
  <c r="AM18" i="5"/>
  <c r="AD46" i="12" s="1"/>
  <c r="AL18" i="5"/>
  <c r="AK18" i="5"/>
  <c r="AD44" i="12" s="1"/>
  <c r="AJ18" i="5"/>
  <c r="AI18" i="5"/>
  <c r="AH18" i="5"/>
  <c r="AQ13" i="5"/>
  <c r="AP13" i="5"/>
  <c r="AO13" i="5"/>
  <c r="S44" i="11" s="1"/>
  <c r="AN13" i="5"/>
  <c r="S43" i="11" s="1"/>
  <c r="AM13" i="5"/>
  <c r="AD46" i="11" s="1"/>
  <c r="AL13" i="5"/>
  <c r="AD45" i="11" s="1"/>
  <c r="AK13" i="5"/>
  <c r="AD44" i="11" s="1"/>
  <c r="AJ13" i="5"/>
  <c r="AI13" i="5"/>
  <c r="AH13" i="5"/>
  <c r="D6" i="5"/>
  <c r="D5" i="5"/>
  <c r="R13" i="4"/>
  <c r="P13" i="4"/>
  <c r="I13" i="4"/>
  <c r="Q13" i="4" s="1"/>
  <c r="E7" i="4"/>
  <c r="D5" i="4"/>
  <c r="O13" i="3"/>
  <c r="M13" i="3" a="1"/>
  <c r="M13" i="3" s="1"/>
  <c r="E13" i="3"/>
  <c r="G12" i="3"/>
  <c r="E12" i="3"/>
  <c r="E4" i="3"/>
  <c r="E59" i="2"/>
  <c r="E49" i="2"/>
  <c r="E41" i="2"/>
  <c r="E27" i="2"/>
  <c r="E26" i="2"/>
  <c r="F25" i="2"/>
  <c r="E22" i="2"/>
  <c r="E21" i="2"/>
  <c r="F20" i="2"/>
  <c r="E19" i="2"/>
  <c r="E3" i="2"/>
  <c r="E2" i="2"/>
  <c r="AL7" i="20"/>
  <c r="AR56" i="17"/>
  <c r="AV51" i="18"/>
  <c r="Y25" i="60"/>
  <c r="AN8" i="11"/>
  <c r="AL46" i="21"/>
  <c r="AL7" i="28"/>
  <c r="J13" i="3"/>
  <c r="L21" i="61"/>
  <c r="L19" i="61"/>
  <c r="L22" i="61"/>
  <c r="AL46" i="28"/>
  <c r="AN8" i="13"/>
  <c r="AL7" i="19"/>
  <c r="AL46" i="20"/>
  <c r="L23" i="61"/>
  <c r="M2" i="50"/>
  <c r="AL7" i="22"/>
  <c r="AN8" i="12"/>
  <c r="AL7" i="24"/>
  <c r="AN8" i="15"/>
  <c r="AN49" i="14"/>
  <c r="AN49" i="15"/>
  <c r="K2" i="49"/>
  <c r="P2" i="51"/>
  <c r="M10" i="50"/>
  <c r="Y23" i="61"/>
  <c r="Y25" i="59"/>
  <c r="Y25" i="58"/>
  <c r="AL7" i="25"/>
  <c r="AL46" i="22"/>
  <c r="AN49" i="13"/>
  <c r="AN49" i="16"/>
  <c r="K9" i="49"/>
  <c r="AN8" i="16"/>
  <c r="AN8" i="14"/>
  <c r="AN49" i="12"/>
  <c r="AR55" i="17"/>
  <c r="AL46" i="25"/>
  <c r="P11" i="51"/>
  <c r="AL46" i="19"/>
  <c r="AR8" i="17"/>
  <c r="L20" i="61"/>
  <c r="AN49" i="11"/>
  <c r="AL46" i="24"/>
  <c r="AL7" i="21"/>
  <c r="AL46" i="27"/>
  <c r="AV8" i="18"/>
  <c r="AL7" i="27"/>
  <c r="E29" i="55" l="1"/>
  <c r="D40" i="7"/>
  <c r="D39" i="7"/>
  <c r="D42" i="7"/>
  <c r="D43" i="7" s="1"/>
  <c r="D44" i="7" s="1"/>
  <c r="S44" i="24"/>
  <c r="J45" i="24"/>
  <c r="S42" i="27"/>
  <c r="S42" i="28"/>
  <c r="K8" i="12"/>
  <c r="S8" i="12" s="1"/>
  <c r="S7" i="12"/>
  <c r="U7" i="17"/>
  <c r="K8" i="17"/>
  <c r="J6" i="20"/>
  <c r="S5" i="20"/>
  <c r="J6" i="21"/>
  <c r="S5" i="21"/>
  <c r="H31" i="30"/>
  <c r="H136" i="30" s="1"/>
  <c r="J45" i="21"/>
  <c r="S44" i="21"/>
  <c r="S7" i="11"/>
  <c r="K8" i="11"/>
  <c r="S8" i="11" s="1"/>
  <c r="L22" i="58"/>
  <c r="F23" i="58" s="1"/>
  <c r="S46" i="14"/>
  <c r="S44" i="20"/>
  <c r="J45" i="20"/>
  <c r="S44" i="25"/>
  <c r="J45" i="25"/>
  <c r="S47" i="11"/>
  <c r="S7" i="14"/>
  <c r="K8" i="14"/>
  <c r="S8" i="14" s="1"/>
  <c r="S7" i="15"/>
  <c r="K8" i="15"/>
  <c r="S8" i="15" s="1"/>
  <c r="S7" i="16"/>
  <c r="K8" i="16"/>
  <c r="S8" i="16" s="1"/>
  <c r="J6" i="24"/>
  <c r="S5" i="24"/>
  <c r="S44" i="19"/>
  <c r="J45" i="19"/>
  <c r="K49" i="11"/>
  <c r="S49" i="11" s="1"/>
  <c r="S48" i="11"/>
  <c r="J45" i="22"/>
  <c r="S44" i="22"/>
  <c r="I11" i="45"/>
  <c r="H11" i="40"/>
  <c r="I27" i="30"/>
  <c r="I28" i="35"/>
  <c r="I9" i="34"/>
  <c r="H16" i="31"/>
  <c r="I12" i="33"/>
  <c r="I12" i="32"/>
  <c r="O22" i="58"/>
  <c r="AD46" i="14"/>
  <c r="J48" i="15"/>
  <c r="I47" i="15"/>
  <c r="J48" i="13"/>
  <c r="S47" i="13"/>
  <c r="AC42" i="28"/>
  <c r="AC42" i="27"/>
  <c r="I8" i="34"/>
  <c r="I11" i="33"/>
  <c r="I11" i="32"/>
  <c r="I10" i="45"/>
  <c r="H10" i="40"/>
  <c r="I27" i="35"/>
  <c r="H15" i="31"/>
  <c r="I26" i="30"/>
  <c r="U54" i="17"/>
  <c r="K55" i="17"/>
  <c r="J48" i="16"/>
  <c r="I47" i="16"/>
  <c r="J50" i="18"/>
  <c r="K51" i="18"/>
  <c r="S51" i="18" s="1"/>
  <c r="I49" i="18"/>
  <c r="J48" i="12"/>
  <c r="S7" i="13"/>
  <c r="K8" i="13"/>
  <c r="S8" i="13" s="1"/>
  <c r="G142" i="43"/>
  <c r="G200" i="43"/>
  <c r="G2" i="43"/>
  <c r="G258" i="43"/>
  <c r="G24" i="43"/>
  <c r="G84" i="43"/>
  <c r="G5" i="43"/>
  <c r="F279" i="43"/>
  <c r="F221" i="43"/>
  <c r="F163" i="43"/>
  <c r="F105" i="43"/>
  <c r="F45" i="43"/>
  <c r="G224" i="43"/>
  <c r="G48" i="43"/>
  <c r="G282" i="43"/>
  <c r="G108" i="43"/>
  <c r="G166" i="43"/>
  <c r="F84" i="43"/>
  <c r="F142" i="43"/>
  <c r="F200" i="43"/>
  <c r="F258" i="43"/>
  <c r="F24" i="43"/>
  <c r="G261" i="43"/>
  <c r="G27" i="43"/>
  <c r="G87" i="43"/>
  <c r="G145" i="43"/>
  <c r="G203" i="43"/>
  <c r="F90" i="43"/>
  <c r="F148" i="43"/>
  <c r="F206" i="43"/>
  <c r="F264" i="43"/>
  <c r="F30" i="43"/>
  <c r="G209" i="43"/>
  <c r="G267" i="43"/>
  <c r="G33" i="43"/>
  <c r="G93" i="43"/>
  <c r="G151" i="43"/>
  <c r="F270" i="43"/>
  <c r="F36" i="43"/>
  <c r="F96" i="43"/>
  <c r="F154" i="43"/>
  <c r="F212" i="43"/>
  <c r="G157" i="43"/>
  <c r="G215" i="43"/>
  <c r="G273" i="43"/>
  <c r="G39" i="43"/>
  <c r="G99" i="43"/>
  <c r="F218" i="43"/>
  <c r="F276" i="43"/>
  <c r="F42" i="43"/>
  <c r="F102" i="43"/>
  <c r="F160" i="43"/>
  <c r="G279" i="43"/>
  <c r="G105" i="43"/>
  <c r="G163" i="43"/>
  <c r="G221" i="43"/>
  <c r="G45" i="43"/>
  <c r="F166" i="43"/>
  <c r="F224" i="43"/>
  <c r="F48" i="43"/>
  <c r="F282" i="43"/>
  <c r="F108" i="43"/>
  <c r="G285" i="43"/>
  <c r="G51" i="43"/>
  <c r="G111" i="43"/>
  <c r="G169" i="43"/>
  <c r="G227" i="43"/>
  <c r="F114" i="43"/>
  <c r="F288" i="43"/>
  <c r="F172" i="43"/>
  <c r="F230" i="43"/>
  <c r="F54" i="43"/>
  <c r="G291" i="43"/>
  <c r="G233" i="43"/>
  <c r="G57" i="43"/>
  <c r="G117" i="43"/>
  <c r="G175" i="43"/>
  <c r="F60" i="43"/>
  <c r="F120" i="43"/>
  <c r="F178" i="43"/>
  <c r="F294" i="43"/>
  <c r="F236" i="43"/>
  <c r="G297" i="43"/>
  <c r="G181" i="43"/>
  <c r="G239" i="43"/>
  <c r="G63" i="43"/>
  <c r="G123" i="43"/>
  <c r="F242" i="43"/>
  <c r="F300" i="43"/>
  <c r="F66" i="43"/>
  <c r="F126" i="43"/>
  <c r="F184" i="43"/>
  <c r="G303" i="43"/>
  <c r="G129" i="43"/>
  <c r="AD46" i="29"/>
  <c r="G187" i="43"/>
  <c r="G245" i="43"/>
  <c r="G69" i="43"/>
  <c r="F190" i="43"/>
  <c r="F248" i="43"/>
  <c r="F72" i="43"/>
  <c r="F306" i="43"/>
  <c r="F132" i="43"/>
  <c r="G309" i="43"/>
  <c r="G75" i="43"/>
  <c r="G135" i="43"/>
  <c r="G193" i="43"/>
  <c r="G251" i="43"/>
  <c r="F138" i="43"/>
  <c r="F312" i="43"/>
  <c r="F196" i="43"/>
  <c r="F254" i="43"/>
  <c r="F78" i="43"/>
  <c r="D35" i="7"/>
  <c r="AD43" i="11"/>
  <c r="S43" i="14"/>
  <c r="S44" i="14"/>
  <c r="AD45" i="14"/>
  <c r="K7" i="19"/>
  <c r="S7" i="19" s="1"/>
  <c r="AC41" i="19"/>
  <c r="J6" i="22"/>
  <c r="S41" i="28"/>
  <c r="F267" i="43"/>
  <c r="F209" i="43"/>
  <c r="F151" i="43"/>
  <c r="F93" i="43"/>
  <c r="F33" i="43"/>
  <c r="F273" i="43"/>
  <c r="F215" i="43"/>
  <c r="F157" i="43"/>
  <c r="F99" i="43"/>
  <c r="F39" i="43"/>
  <c r="F291" i="43"/>
  <c r="F233" i="43"/>
  <c r="F175" i="43"/>
  <c r="F117" i="43"/>
  <c r="F57" i="43"/>
  <c r="F297" i="43"/>
  <c r="F239" i="43"/>
  <c r="F181" i="43"/>
  <c r="F123" i="43"/>
  <c r="F63" i="43"/>
  <c r="G300" i="43"/>
  <c r="G66" i="43"/>
  <c r="G126" i="43"/>
  <c r="G184" i="43"/>
  <c r="G242" i="43"/>
  <c r="G248" i="43"/>
  <c r="G72" i="43"/>
  <c r="G306" i="43"/>
  <c r="G132" i="43"/>
  <c r="G190" i="43"/>
  <c r="AD43" i="12"/>
  <c r="AC41" i="24"/>
  <c r="AC41" i="25"/>
  <c r="AC41" i="27"/>
  <c r="K7" i="28"/>
  <c r="S7" i="28" s="1"/>
  <c r="F261" i="43"/>
  <c r="F203" i="43"/>
  <c r="F145" i="43"/>
  <c r="F87" i="43"/>
  <c r="F27" i="43"/>
  <c r="O19" i="58"/>
  <c r="G148" i="43"/>
  <c r="G206" i="43"/>
  <c r="G264" i="43"/>
  <c r="G30" i="43"/>
  <c r="G90" i="43"/>
  <c r="G96" i="43"/>
  <c r="G154" i="43"/>
  <c r="G212" i="43"/>
  <c r="G270" i="43"/>
  <c r="G36" i="43"/>
  <c r="G276" i="43"/>
  <c r="G42" i="43"/>
  <c r="G102" i="43"/>
  <c r="G160" i="43"/>
  <c r="G218" i="43"/>
  <c r="F285" i="43"/>
  <c r="F227" i="43"/>
  <c r="F169" i="43"/>
  <c r="F111" i="43"/>
  <c r="F51" i="43"/>
  <c r="G288" i="43"/>
  <c r="G172" i="43"/>
  <c r="G230" i="43"/>
  <c r="G54" i="43"/>
  <c r="G114" i="43"/>
  <c r="G120" i="43"/>
  <c r="G178" i="43"/>
  <c r="G294" i="43"/>
  <c r="G236" i="43"/>
  <c r="G60" i="43"/>
  <c r="S43" i="27"/>
  <c r="I44" i="27" s="1"/>
  <c r="S43" i="28"/>
  <c r="I44" i="28" s="1"/>
  <c r="F303" i="43"/>
  <c r="F245" i="43"/>
  <c r="F187" i="43"/>
  <c r="F129" i="43"/>
  <c r="F69" i="43"/>
  <c r="F309" i="43"/>
  <c r="F251" i="43"/>
  <c r="F193" i="43"/>
  <c r="F135" i="43"/>
  <c r="F75" i="43"/>
  <c r="G312" i="43"/>
  <c r="G196" i="43"/>
  <c r="AD46" i="26"/>
  <c r="G254" i="43"/>
  <c r="G78" i="43"/>
  <c r="G138" i="43"/>
  <c r="I9" i="45"/>
  <c r="H9" i="40"/>
  <c r="H14" i="31"/>
  <c r="I25" i="30"/>
  <c r="I26" i="35"/>
  <c r="I7" i="34"/>
  <c r="I10" i="33"/>
  <c r="I10" i="32"/>
  <c r="S45" i="14"/>
  <c r="AG49" i="17"/>
  <c r="I6" i="18"/>
  <c r="AC41" i="22"/>
  <c r="K7" i="27"/>
  <c r="S7" i="27" s="1"/>
  <c r="S5" i="28"/>
  <c r="AC43" i="28"/>
  <c r="I36" i="38"/>
  <c r="H36" i="38" s="1"/>
  <c r="K69" i="30"/>
  <c r="I31" i="30" s="1"/>
  <c r="I136" i="30" s="1"/>
  <c r="I38" i="38"/>
  <c r="F2" i="50"/>
  <c r="F10" i="50"/>
  <c r="AA11" i="57"/>
  <c r="N11" i="57" s="1"/>
  <c r="I15" i="40" s="1"/>
  <c r="U15" i="57"/>
  <c r="M15" i="57" s="1"/>
  <c r="E19" i="40" s="1"/>
  <c r="L24" i="60"/>
  <c r="H25" i="60"/>
  <c r="L25" i="60" s="1"/>
  <c r="F29" i="55"/>
  <c r="J49" i="55"/>
  <c r="J50" i="55"/>
  <c r="J51" i="55"/>
  <c r="J52" i="55"/>
  <c r="E4" i="56"/>
  <c r="C4" i="56" s="1"/>
  <c r="D4" i="7" s="1"/>
  <c r="E6" i="56"/>
  <c r="C6" i="56" s="1"/>
  <c r="E21" i="30" s="1"/>
  <c r="E29" i="56"/>
  <c r="C29" i="56" s="1"/>
  <c r="D5" i="44" s="1"/>
  <c r="U14" i="57"/>
  <c r="M14" i="57" s="1"/>
  <c r="E18" i="40" s="1"/>
  <c r="AA15" i="57"/>
  <c r="N15" i="57" s="1"/>
  <c r="I19" i="40" s="1"/>
  <c r="J46" i="55"/>
  <c r="J47" i="55"/>
  <c r="J45" i="55" s="1"/>
  <c r="E5" i="2" s="1"/>
  <c r="AA13" i="57"/>
  <c r="N13" i="57" s="1"/>
  <c r="I17" i="40" s="1"/>
  <c r="L23" i="59"/>
  <c r="D5" i="48"/>
  <c r="E3" i="56"/>
  <c r="C3" i="56" s="1"/>
  <c r="D5" i="40" s="1"/>
  <c r="E5" i="56"/>
  <c r="C5" i="56" s="1"/>
  <c r="D5" i="41" s="1"/>
  <c r="E30" i="56"/>
  <c r="C30" i="56" s="1"/>
  <c r="D14" i="42" s="1"/>
  <c r="E32" i="56"/>
  <c r="C32" i="56" s="1"/>
  <c r="AA12" i="57"/>
  <c r="N12" i="57" s="1"/>
  <c r="I16" i="40" s="1"/>
  <c r="AA16" i="57"/>
  <c r="N16" i="57" s="1"/>
  <c r="I21" i="40" s="1"/>
  <c r="L24" i="59"/>
  <c r="H25" i="59"/>
  <c r="L25" i="59" s="1"/>
  <c r="L23" i="60"/>
  <c r="U55" i="17" l="1"/>
  <c r="L56" i="17"/>
  <c r="U56" i="17" s="1"/>
  <c r="U8" i="17"/>
  <c r="L9" i="17"/>
  <c r="U9" i="17" s="1"/>
  <c r="D48" i="7"/>
  <c r="D45" i="7"/>
  <c r="D50" i="7"/>
  <c r="D47" i="7"/>
  <c r="D46" i="7"/>
  <c r="K7" i="22"/>
  <c r="S7" i="22" s="1"/>
  <c r="S6" i="22"/>
  <c r="K49" i="16"/>
  <c r="S49" i="16" s="1"/>
  <c r="S48" i="16"/>
  <c r="D4" i="4"/>
  <c r="B5" i="1"/>
  <c r="S44" i="28"/>
  <c r="J45" i="28"/>
  <c r="K49" i="13"/>
  <c r="S49" i="13" s="1"/>
  <c r="S48" i="13"/>
  <c r="K7" i="24"/>
  <c r="S7" i="24" s="1"/>
  <c r="S6" i="24"/>
  <c r="K46" i="25"/>
  <c r="S46" i="25" s="1"/>
  <c r="S45" i="25"/>
  <c r="J48" i="14"/>
  <c r="I47" i="14"/>
  <c r="K7" i="21"/>
  <c r="S7" i="21" s="1"/>
  <c r="S6" i="21"/>
  <c r="H38" i="38"/>
  <c r="I58" i="38"/>
  <c r="H58" i="38" s="1"/>
  <c r="K49" i="15"/>
  <c r="S49" i="15" s="1"/>
  <c r="S48" i="15"/>
  <c r="K46" i="22"/>
  <c r="S46" i="22" s="1"/>
  <c r="S45" i="22"/>
  <c r="S45" i="20"/>
  <c r="K46" i="20"/>
  <c r="S46" i="20" s="1"/>
  <c r="S6" i="20"/>
  <c r="K7" i="20"/>
  <c r="S7" i="20" s="1"/>
  <c r="F5" i="36"/>
  <c r="F5" i="37"/>
  <c r="F5" i="39"/>
  <c r="F5" i="38"/>
  <c r="S44" i="27"/>
  <c r="J45" i="27"/>
  <c r="S48" i="12"/>
  <c r="K49" i="12"/>
  <c r="S49" i="12" s="1"/>
  <c r="K46" i="19"/>
  <c r="S46" i="19" s="1"/>
  <c r="S45" i="19"/>
  <c r="G24" i="58"/>
  <c r="L23" i="58"/>
  <c r="S45" i="21"/>
  <c r="K46" i="21"/>
  <c r="S46" i="21" s="1"/>
  <c r="K46" i="24"/>
  <c r="S46" i="24" s="1"/>
  <c r="S45" i="24"/>
  <c r="K49" i="14" l="1"/>
  <c r="S49" i="14" s="1"/>
  <c r="S48" i="14"/>
  <c r="K46" i="27"/>
  <c r="S46" i="27" s="1"/>
  <c r="S45" i="27"/>
  <c r="L24" i="58"/>
  <c r="H25" i="58"/>
  <c r="L25" i="58" s="1"/>
  <c r="S45" i="28"/>
  <c r="K46" i="28"/>
  <c r="S46" i="28" s="1"/>
</calcChain>
</file>

<file path=xl/comments1.xml><?xml version="1.0" encoding="utf-8"?>
<comments xmlns="http://schemas.openxmlformats.org/spreadsheetml/2006/main">
  <authors>
    <author>Author</author>
  </authors>
  <commentList>
    <comment ref="F31" authorId="0" shapeId="0">
      <text>
        <r>
          <rPr>
            <sz val="9"/>
            <color indexed="81"/>
            <rFont val="Tahoma"/>
            <family val="2"/>
          </rPr>
          <t>Выбор организации двойным щелчком левой клавиши мыши</t>
        </r>
      </text>
    </commen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<sst xmlns="http://schemas.openxmlformats.org/spreadsheetml/2006/main" count="16173" uniqueCount="5449">
  <si>
    <t xml:space="preserve"> (требуется обновление)</t>
  </si>
  <si>
    <t>Код отчёта: PP108.OPEN.INFO.QUARTER.VOTV.EIAS</t>
  </si>
  <si>
    <t>Версия отчёта: 1.0.4</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</si>
  <si>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</si>
  <si>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</si>
  <si>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</si>
  <si>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</si>
  <si>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</si>
  <si>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</si>
  <si>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</si>
  <si>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</si>
  <si>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</si>
  <si>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</si>
  <si>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</si>
  <si>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Пензенская область</t>
  </si>
  <si>
    <t>Состав раскрываемой информации</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</si>
  <si>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</si>
  <si>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</si>
  <si>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</si>
  <si>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</si>
  <si>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</si>
  <si>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</si>
  <si>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</si>
  <si>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</si>
  <si>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</si>
  <si>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</si>
  <si>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</si>
  <si>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</si>
  <si>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</si>
  <si>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</si>
  <si>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</si>
  <si>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</si>
  <si>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</si>
  <si>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</si>
  <si>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</si>
  <si>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</si>
  <si>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</si>
  <si>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</si>
  <si>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</si>
  <si>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</si>
  <si>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</si>
  <si>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</si>
  <si>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Наименование (описание) обособленного подразделения</t>
  </si>
  <si>
    <t>ИНН</t>
  </si>
  <si>
    <t>КПП</t>
  </si>
  <si>
    <t>Тип теплоснабжающей организации</t>
  </si>
  <si>
    <t>Система налогообложения</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</si>
  <si>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</si>
  <si>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</si>
  <si>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</si>
  <si>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да</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</si>
  <si>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</si>
  <si>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</si>
  <si>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</si>
  <si>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</si>
  <si>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</si>
  <si>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</si>
  <si>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</si>
  <si>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</si>
  <si>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</si>
  <si>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</si>
  <si>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</si>
  <si>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Фамилия, имя, отчество руководителя</t>
  </si>
  <si>
    <t>Ответственный за заполнение формы</t>
  </si>
  <si>
    <t>Фамилия, имя, отчество</t>
  </si>
  <si>
    <t>Должность</t>
  </si>
  <si>
    <t>Контактный телефон</t>
  </si>
  <si>
    <t>E-mail</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</si>
  <si>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</si>
  <si>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</si>
  <si>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</si>
  <si>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</si>
  <si>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</si>
  <si>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</si>
  <si>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</si>
  <si>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</si>
  <si>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</si>
  <si>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</si>
  <si>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</si>
  <si>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</si>
  <si>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</si>
  <si>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</si>
  <si>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</si>
  <si>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</si>
  <si>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</si>
  <si>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</si>
  <si>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</si>
  <si>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</si>
  <si>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</si>
  <si>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</si>
  <si>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</si>
  <si>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</si>
  <si>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</si>
  <si>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</si>
  <si>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</si>
  <si>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</si>
  <si>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</si>
  <si>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</si>
  <si>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</si>
  <si>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</si>
  <si>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</si>
  <si>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</si>
  <si>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</si>
  <si>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</si>
  <si>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</si>
  <si>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</si>
  <si>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</si>
  <si>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</si>
  <si>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</si>
  <si>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</si>
  <si>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</si>
  <si>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</si>
  <si>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</si>
  <si>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</si>
  <si>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</si>
  <si>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</si>
  <si>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</si>
  <si>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</si>
  <si>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</si>
  <si>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</si>
  <si>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</si>
  <si>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</si>
  <si>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</si>
  <si>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</si>
  <si>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</si>
  <si>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</si>
  <si>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</si>
  <si>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</si>
  <si>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</si>
  <si>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</si>
  <si>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</si>
  <si>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</si>
  <si>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</si>
  <si>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</si>
  <si>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</si>
  <si>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</si>
  <si>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</si>
  <si>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</si>
  <si>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</si>
  <si>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</si>
  <si>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</si>
  <si>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</si>
  <si>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</si>
  <si>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</si>
  <si>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</si>
  <si>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</si>
  <si>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</si>
  <si>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</si>
  <si>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</si>
  <si>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</si>
  <si>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</si>
  <si>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</si>
  <si>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</si>
  <si>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</si>
  <si>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</si>
  <si>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</si>
  <si>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</si>
  <si>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</si>
  <si>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</si>
  <si>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</si>
  <si>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</si>
  <si>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</si>
  <si>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</si>
  <si>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</si>
  <si>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</si>
  <si>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</si>
  <si>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</si>
  <si>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</si>
  <si>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</si>
  <si>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</si>
  <si>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</si>
  <si>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</si>
  <si>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</si>
  <si>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</si>
  <si>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</si>
  <si>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</si>
  <si>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</si>
  <si>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</si>
  <si>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</si>
  <si>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</si>
  <si>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</si>
  <si>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</si>
  <si>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</si>
  <si>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</si>
  <si>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</si>
  <si>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</si>
  <si>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</si>
  <si>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</si>
  <si>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</si>
  <si>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</si>
  <si>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</si>
  <si>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</si>
  <si>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</si>
  <si>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</si>
  <si>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</si>
  <si>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</si>
  <si>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</si>
  <si>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</si>
  <si>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</si>
  <si>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</si>
  <si>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</si>
  <si>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</si>
  <si>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</si>
  <si>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</si>
  <si>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</si>
  <si>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</si>
  <si>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</si>
  <si>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</si>
  <si>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</si>
  <si>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</si>
  <si>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</si>
  <si>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</si>
  <si>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</si>
  <si>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</si>
  <si>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</si>
  <si>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</si>
  <si>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</si>
  <si>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</si>
  <si>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</si>
  <si>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</si>
  <si>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</si>
  <si>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</si>
  <si>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</si>
  <si>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</si>
  <si>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</si>
  <si>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</si>
  <si>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</si>
  <si>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</si>
  <si>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</si>
  <si>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</si>
  <si>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</si>
  <si>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</si>
  <si>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</si>
  <si>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</si>
  <si>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</si>
  <si>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</si>
  <si>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</si>
  <si>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</si>
  <si>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</si>
  <si>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</si>
  <si>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</si>
  <si>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</si>
  <si>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</si>
  <si>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</si>
  <si>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</si>
  <si>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</si>
  <si>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</si>
  <si>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</si>
  <si>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</si>
  <si>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</si>
  <si>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</si>
  <si>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</si>
  <si>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</si>
  <si>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</si>
  <si>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</si>
  <si>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</si>
  <si>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</si>
  <si>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</si>
  <si>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</si>
  <si>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</si>
  <si>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</si>
  <si>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</si>
  <si>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</si>
  <si>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</si>
  <si>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</si>
  <si>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</si>
  <si>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</si>
  <si>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</si>
  <si>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</si>
  <si>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</si>
  <si>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</si>
  <si>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</si>
  <si>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</si>
  <si>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</si>
  <si>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</si>
  <si>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</si>
  <si>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</si>
  <si>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</si>
  <si>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</si>
  <si>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</si>
  <si>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</si>
  <si>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</si>
  <si>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</si>
  <si>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</si>
  <si>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</si>
  <si>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</si>
  <si>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</si>
  <si>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</si>
  <si>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</si>
  <si>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</si>
  <si>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</si>
  <si>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</si>
  <si>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</si>
  <si>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</si>
  <si>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</si>
  <si>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</si>
  <si>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</si>
  <si>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</si>
  <si>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</si>
  <si>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</si>
  <si>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</si>
  <si>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</si>
  <si>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</si>
  <si>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</si>
  <si>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</si>
  <si>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</si>
  <si>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</si>
  <si>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</si>
  <si>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</si>
  <si>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</si>
  <si>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</si>
  <si>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</si>
  <si>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</si>
  <si>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</si>
  <si>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</si>
  <si>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</si>
  <si>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</si>
  <si>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</si>
  <si>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</si>
  <si>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</si>
  <si>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</si>
  <si>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</si>
  <si>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</si>
  <si>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</si>
  <si>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</si>
  <si>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</si>
  <si>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</si>
  <si>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</si>
  <si>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</si>
  <si>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</si>
  <si>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</si>
  <si>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</si>
  <si>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</si>
  <si>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</si>
  <si>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</si>
  <si>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</si>
  <si>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</si>
  <si>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</si>
  <si>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</si>
  <si>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</si>
  <si>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</si>
  <si>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</si>
  <si>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</si>
  <si>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</si>
  <si>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</si>
  <si>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</si>
  <si>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</si>
  <si>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</si>
  <si>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</si>
  <si>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</si>
  <si>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</si>
  <si>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</si>
  <si>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</si>
  <si>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</si>
  <si>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</si>
  <si>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</si>
  <si>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</si>
  <si>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</si>
  <si>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</si>
  <si>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</si>
  <si>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</si>
  <si>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</si>
  <si>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</si>
  <si>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</si>
  <si>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</si>
  <si>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</si>
  <si>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</si>
  <si>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</si>
  <si>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</si>
  <si>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</si>
  <si>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</si>
  <si>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</si>
  <si>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</si>
  <si>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</si>
  <si>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</si>
  <si>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</si>
  <si>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</si>
  <si>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</si>
  <si>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</si>
  <si>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</si>
  <si>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</si>
  <si>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</si>
  <si>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</si>
  <si>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</si>
  <si>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</si>
  <si>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</si>
  <si>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</si>
  <si>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</si>
  <si>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</si>
  <si>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</si>
  <si>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</si>
  <si>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</si>
  <si>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</si>
  <si>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</si>
  <si>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</si>
  <si>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</si>
  <si>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</si>
  <si>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</si>
  <si>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</si>
  <si>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</si>
  <si>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</si>
  <si>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</si>
  <si>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</si>
  <si>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</si>
  <si>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</si>
  <si>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</si>
  <si>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</si>
  <si>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</si>
  <si>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</si>
  <si>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</si>
  <si>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</si>
  <si>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</si>
  <si>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</si>
  <si>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</si>
  <si>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</si>
  <si>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</si>
  <si>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</si>
  <si>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</si>
  <si>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</si>
  <si>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</si>
  <si>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</si>
  <si>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</si>
  <si>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</si>
  <si>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</si>
  <si>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</si>
  <si>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</si>
  <si>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</si>
  <si>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</si>
  <si>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</si>
  <si>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</si>
  <si>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</si>
  <si>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</si>
  <si>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</si>
  <si>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</si>
  <si>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</si>
  <si>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</si>
  <si>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</si>
  <si>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</si>
  <si>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</si>
  <si>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</si>
  <si>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</si>
  <si>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</si>
  <si>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</si>
  <si>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</si>
  <si>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</si>
  <si>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</si>
  <si>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</si>
  <si>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</si>
  <si>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</si>
  <si>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</si>
  <si>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</si>
  <si>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</si>
  <si>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</si>
  <si>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</si>
  <si>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</si>
  <si>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</si>
  <si>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</si>
  <si>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</si>
  <si>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</si>
  <si>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</si>
  <si>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</si>
  <si>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</si>
  <si>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</si>
  <si>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</si>
  <si>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</si>
  <si>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</si>
  <si>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</si>
  <si>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</si>
  <si>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</si>
  <si>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</si>
  <si>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</si>
  <si>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</si>
  <si>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</si>
  <si>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</si>
  <si>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</si>
  <si>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</si>
  <si>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</si>
  <si>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</si>
  <si>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</si>
  <si>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</si>
  <si>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</si>
  <si>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</si>
  <si>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</si>
  <si>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</si>
  <si>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</si>
  <si>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</si>
  <si>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</si>
  <si>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</si>
  <si>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</si>
  <si>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</si>
  <si>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</si>
  <si>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</si>
  <si>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</si>
  <si>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</si>
  <si>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</si>
  <si>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</si>
  <si>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</si>
  <si>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</si>
  <si>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</si>
  <si>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</si>
  <si>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</si>
  <si>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</si>
  <si>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</si>
  <si>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</si>
  <si>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</si>
  <si>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</si>
  <si>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</si>
  <si>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</si>
  <si>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</si>
  <si>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</si>
  <si>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</si>
  <si>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</si>
  <si>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</si>
  <si>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</si>
  <si>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</si>
  <si>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</si>
  <si>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</si>
  <si>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</si>
  <si>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</si>
  <si>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</si>
  <si>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</si>
  <si>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</si>
  <si>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</si>
  <si>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</si>
  <si>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</si>
  <si>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</si>
  <si>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</si>
  <si>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</si>
  <si>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</si>
  <si>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</si>
  <si>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</si>
  <si>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</si>
  <si>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</si>
  <si>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</si>
  <si>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</si>
  <si>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</si>
  <si>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</si>
  <si>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</si>
  <si>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</si>
  <si>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</si>
  <si>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</si>
  <si>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</si>
  <si>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</si>
  <si>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</si>
  <si>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</si>
  <si>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</si>
  <si>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</si>
  <si>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</si>
  <si>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</si>
  <si>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</si>
  <si>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</si>
  <si>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</si>
  <si>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</si>
  <si>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</si>
  <si>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</si>
  <si>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</si>
  <si>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</si>
  <si>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</si>
  <si>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</si>
  <si>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</si>
  <si>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</si>
  <si>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</si>
  <si>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</si>
  <si>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</si>
  <si>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</si>
  <si>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</si>
  <si>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</si>
  <si>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</si>
  <si>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</si>
  <si>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</si>
  <si>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</si>
  <si>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</si>
  <si>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</si>
  <si>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</si>
  <si>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</si>
  <si>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</si>
  <si>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</si>
  <si>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</si>
  <si>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</si>
  <si>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</si>
  <si>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</si>
  <si>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</si>
  <si>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</si>
  <si>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</si>
  <si>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</si>
  <si>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</si>
  <si>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</si>
  <si>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</si>
  <si>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</si>
  <si>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</si>
  <si>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</si>
  <si>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</si>
  <si>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</si>
  <si>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</si>
  <si>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</si>
  <si>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</si>
  <si>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</si>
  <si>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</si>
  <si>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</si>
  <si>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</si>
  <si>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</si>
  <si>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</si>
  <si>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</si>
  <si>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</si>
  <si>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</si>
  <si>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</si>
  <si>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</si>
  <si>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</si>
  <si>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</si>
  <si>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</si>
  <si>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</si>
  <si>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</si>
  <si>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</si>
  <si>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</si>
  <si>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</si>
  <si>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</si>
  <si>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</si>
  <si>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</si>
  <si>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</si>
  <si>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</si>
  <si>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</si>
  <si>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</si>
  <si>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</si>
  <si>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</si>
  <si>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</si>
  <si>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</si>
  <si>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</si>
  <si>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</si>
  <si>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</si>
  <si>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</si>
  <si>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</si>
  <si>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</si>
  <si>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</si>
  <si>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</si>
  <si>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</si>
  <si>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</si>
  <si>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</si>
  <si>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</si>
  <si>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</si>
  <si>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</si>
  <si>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</si>
  <si>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</si>
  <si>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</si>
  <si>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</si>
  <si>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</si>
  <si>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</si>
  <si>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</si>
  <si>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</si>
  <si>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</si>
  <si>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</si>
  <si>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</si>
  <si>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</si>
  <si>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</si>
  <si>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</si>
  <si>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</si>
  <si>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</si>
  <si>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</si>
  <si>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</si>
  <si>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</si>
  <si>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</si>
  <si>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</si>
  <si>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</si>
  <si>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</si>
  <si>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</si>
  <si>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</si>
  <si>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</si>
  <si>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</si>
  <si>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</si>
  <si>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</si>
  <si>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</si>
  <si>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</si>
  <si>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</si>
  <si>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</si>
  <si>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</si>
  <si>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</si>
  <si>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</si>
  <si>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</si>
  <si>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</si>
  <si>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</si>
  <si>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</si>
  <si>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</si>
  <si>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</si>
  <si>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</si>
  <si>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</si>
  <si>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</si>
  <si>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</si>
  <si>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</si>
  <si>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</si>
  <si>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</si>
  <si>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</si>
  <si>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</si>
  <si>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</si>
  <si>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</si>
  <si>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</si>
  <si>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</si>
  <si>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</si>
  <si>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</si>
  <si>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</si>
  <si>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</si>
  <si>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</si>
  <si>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</si>
  <si>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</si>
  <si>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</si>
  <si>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</si>
  <si>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</si>
  <si>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</si>
  <si>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</si>
  <si>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</si>
  <si>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</si>
  <si>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</si>
  <si>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</si>
  <si>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</si>
  <si>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</si>
  <si>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</si>
  <si>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</si>
  <si>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</si>
  <si>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</si>
  <si>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</si>
  <si>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</si>
  <si>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</si>
  <si>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</si>
  <si>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</si>
  <si>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</si>
  <si>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</si>
  <si>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</si>
  <si>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</si>
  <si>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</si>
  <si>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</si>
  <si>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</si>
  <si>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</si>
  <si>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</si>
  <si>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</si>
  <si>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</si>
  <si>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</si>
  <si>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</si>
  <si>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</si>
  <si>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</si>
  <si>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</si>
  <si>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</si>
  <si>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</si>
  <si>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</si>
  <si>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</si>
  <si>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</si>
  <si>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</si>
  <si>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</si>
  <si>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</si>
  <si>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</si>
  <si>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</si>
  <si>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</si>
  <si>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</si>
  <si>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</si>
  <si>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</si>
  <si>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</si>
  <si>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</si>
  <si>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</si>
  <si>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</si>
  <si>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</si>
  <si>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</si>
  <si>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</si>
  <si>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</si>
  <si>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</si>
  <si>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</si>
  <si>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</si>
  <si>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</si>
  <si>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</si>
  <si>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</si>
  <si>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</si>
  <si>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</si>
  <si>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</si>
  <si>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</si>
  <si>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</si>
  <si>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</si>
  <si>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</si>
  <si>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</si>
  <si>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</si>
  <si>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</si>
  <si>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</si>
  <si>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</si>
  <si>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</si>
  <si>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</si>
  <si>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</si>
  <si>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</si>
  <si>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</si>
  <si>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</si>
  <si>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</si>
  <si>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</si>
  <si>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</si>
  <si>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</si>
  <si>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</si>
  <si>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</si>
  <si>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</si>
  <si>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</si>
  <si>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</si>
  <si>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</si>
  <si>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</si>
  <si>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</si>
  <si>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</si>
  <si>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</si>
  <si>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</si>
  <si>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</si>
  <si>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</si>
  <si>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</si>
  <si>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</si>
  <si>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</si>
  <si>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</si>
  <si>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</si>
  <si>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</si>
  <si>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</si>
  <si>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</si>
  <si>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</si>
  <si>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</si>
  <si>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</si>
  <si>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</si>
  <si>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</si>
  <si>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</si>
  <si>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</si>
  <si>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</si>
  <si>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</si>
  <si>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</si>
  <si>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</si>
  <si>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</si>
  <si>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</si>
  <si>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</si>
  <si>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</si>
  <si>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</si>
  <si>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</si>
  <si>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</si>
  <si>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</si>
  <si>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</si>
  <si>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</si>
  <si>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</si>
  <si>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</si>
  <si>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</si>
  <si>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</si>
  <si>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</si>
  <si>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</si>
  <si>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</si>
  <si>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</si>
  <si>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</si>
  <si>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</si>
  <si>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</si>
  <si>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</si>
  <si>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</si>
  <si>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</si>
  <si>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</si>
  <si>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</si>
  <si>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</si>
  <si>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</si>
  <si>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</si>
  <si>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</si>
  <si>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</si>
  <si>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</si>
  <si>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</si>
  <si>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</si>
  <si>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</si>
  <si>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</si>
  <si>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</si>
  <si>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</si>
  <si>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</si>
  <si>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</si>
  <si>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</si>
  <si>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</si>
  <si>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</si>
  <si>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</si>
  <si>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</si>
  <si>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</si>
  <si>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</si>
  <si>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</si>
  <si>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</si>
  <si>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</si>
  <si>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</si>
  <si>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</si>
  <si>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</si>
  <si>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</si>
  <si>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</si>
  <si>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</si>
  <si>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</si>
  <si>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</si>
  <si>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</si>
  <si>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</si>
  <si>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</si>
  <si>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</si>
  <si>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</si>
  <si>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</si>
  <si>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</si>
  <si>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</si>
  <si>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</si>
  <si>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</si>
  <si>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</si>
  <si>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</si>
  <si>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</si>
  <si>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</si>
  <si>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</si>
  <si>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</si>
  <si>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</si>
  <si>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</si>
  <si>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</si>
  <si>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</si>
  <si>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</si>
  <si>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</si>
  <si>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</si>
  <si>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</si>
  <si>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</si>
  <si>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</si>
  <si>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</si>
  <si>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</si>
  <si>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</si>
  <si>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</si>
  <si>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</si>
  <si>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</si>
  <si>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</si>
  <si>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</si>
  <si>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</si>
  <si>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</si>
  <si>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</si>
  <si>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</si>
  <si>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</si>
  <si>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</si>
  <si>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</si>
  <si>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</si>
  <si>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</si>
  <si>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</si>
  <si>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</si>
  <si>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</si>
  <si>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</si>
  <si>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</si>
  <si>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</si>
  <si>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</si>
  <si>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</si>
  <si>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</si>
  <si>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</si>
  <si>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</si>
  <si>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</si>
  <si>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</si>
  <si>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</si>
  <si>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</si>
  <si>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</si>
  <si>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</si>
  <si>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</si>
  <si>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</si>
  <si>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</si>
  <si>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</si>
  <si>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</si>
  <si>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</si>
  <si>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</si>
  <si>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</si>
  <si>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</si>
  <si>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</si>
  <si>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</si>
  <si>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</si>
  <si>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</si>
  <si>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</si>
  <si>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</si>
  <si>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</si>
  <si>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</si>
  <si>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</si>
  <si>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</si>
  <si>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</si>
  <si>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</si>
  <si>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</si>
  <si>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</si>
  <si>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</si>
  <si>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</si>
  <si>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</si>
  <si>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</si>
  <si>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</si>
  <si>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</si>
  <si>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</si>
  <si>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</si>
  <si>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</si>
  <si>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</si>
  <si>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</si>
  <si>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</si>
  <si>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</si>
  <si>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</si>
  <si>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</si>
  <si>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</si>
  <si>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</si>
  <si>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</si>
  <si>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</si>
  <si>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</si>
  <si>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</si>
  <si>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</si>
  <si>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</si>
  <si>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</si>
  <si>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</si>
  <si>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</si>
  <si>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</si>
  <si>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</si>
  <si>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</si>
  <si>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</si>
  <si>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</si>
  <si>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</si>
  <si>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</si>
  <si>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</si>
  <si>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</si>
  <si>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</si>
  <si>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</si>
  <si>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</si>
  <si>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</si>
  <si>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</si>
  <si>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</si>
  <si>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</si>
  <si>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</si>
  <si>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</si>
  <si>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</si>
  <si>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</si>
  <si>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</si>
  <si>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</si>
  <si>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</si>
  <si>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</si>
  <si>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</si>
  <si>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</si>
  <si>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</si>
  <si>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</si>
  <si>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</si>
  <si>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</si>
  <si>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</si>
  <si>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</si>
  <si>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</si>
  <si>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</si>
  <si>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</si>
  <si>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</si>
  <si>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</si>
  <si>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</si>
  <si>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</si>
  <si>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</si>
  <si>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</si>
  <si>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</si>
  <si>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</si>
  <si>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</si>
  <si>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</si>
  <si>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</si>
  <si>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</si>
  <si>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</si>
  <si>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</si>
  <si>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4.1 – 4.3 указывается в случае, если организация имеет статус единой теплоснабжающей организации.</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</si>
  <si>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</si>
  <si>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</si>
  <si>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</si>
  <si>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</si>
  <si>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</si>
  <si>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</si>
  <si>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</si>
  <si>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</si>
  <si>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</si>
  <si>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</si>
  <si>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</si>
  <si>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</si>
  <si>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</si>
  <si>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</si>
  <si>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</si>
  <si>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</si>
  <si>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</si>
  <si>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</si>
  <si>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</si>
  <si>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</si>
  <si>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</si>
  <si>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</si>
  <si>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</si>
  <si>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</si>
  <si>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</si>
  <si>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</si>
  <si>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</si>
  <si>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</si>
  <si>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</si>
  <si>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</si>
  <si>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</si>
  <si>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</si>
  <si>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</si>
  <si>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</si>
  <si>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</si>
  <si>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</si>
  <si>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</si>
  <si>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</si>
  <si>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</si>
  <si>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</si>
  <si>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</si>
  <si>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</si>
  <si>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</si>
  <si>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</si>
  <si>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</si>
  <si>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</si>
  <si>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</si>
  <si>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</si>
  <si>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</si>
  <si>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</si>
  <si>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</si>
  <si>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</si>
  <si>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</si>
  <si>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</si>
  <si>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</si>
  <si>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</si>
  <si>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</si>
  <si>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</si>
  <si>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</si>
  <si>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</si>
  <si>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</si>
  <si>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</si>
  <si>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</si>
  <si>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</si>
  <si>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</si>
  <si>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</si>
  <si>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</si>
  <si>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</si>
  <si>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</si>
  <si>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</si>
  <si>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</si>
  <si>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</si>
  <si>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</si>
  <si>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</si>
  <si>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</si>
  <si>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</si>
  <si>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</si>
  <si>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</si>
  <si>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</si>
  <si>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</si>
  <si>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</si>
  <si>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</si>
  <si>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</si>
  <si>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</si>
  <si>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</si>
  <si>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</si>
  <si>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</si>
  <si>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</si>
  <si>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</si>
  <si>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</si>
  <si>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</si>
  <si>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</si>
  <si>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</si>
  <si>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</si>
  <si>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</si>
  <si>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</si>
  <si>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</si>
  <si>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</si>
  <si>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</si>
  <si>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</si>
  <si>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</si>
  <si>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</si>
  <si>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</si>
  <si>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</si>
  <si>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</si>
  <si>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</si>
  <si>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</si>
  <si>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</si>
  <si>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</si>
  <si>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</si>
  <si>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</si>
  <si>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</si>
  <si>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</si>
  <si>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</si>
  <si>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</si>
  <si>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</si>
  <si>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</si>
  <si>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</si>
  <si>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</si>
  <si>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</si>
  <si>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</si>
  <si>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</si>
  <si>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</si>
  <si>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</si>
  <si>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</si>
  <si>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</si>
  <si>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</si>
  <si>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</si>
  <si>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</si>
  <si>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</si>
  <si>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</si>
  <si>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</si>
  <si>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</si>
  <si>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</si>
  <si>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</si>
  <si>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</si>
  <si>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</si>
  <si>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</si>
  <si>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</si>
  <si>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</si>
  <si>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</si>
  <si>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</si>
  <si>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</si>
  <si>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</si>
  <si>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</si>
  <si>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</si>
  <si>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</si>
  <si>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</si>
  <si>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</si>
  <si>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</si>
  <si>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</si>
  <si>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</si>
  <si>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</si>
  <si>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</si>
  <si>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</si>
  <si>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</si>
  <si>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</si>
  <si>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</si>
  <si>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</si>
  <si>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</si>
  <si>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</si>
  <si>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</si>
  <si>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</si>
  <si>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</si>
  <si>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</si>
  <si>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</si>
  <si>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</si>
  <si>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</si>
  <si>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</si>
  <si>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</si>
  <si>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</si>
  <si>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</si>
  <si>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</si>
  <si>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</si>
  <si>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</si>
  <si>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</si>
  <si>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</si>
  <si>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</si>
  <si>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</si>
  <si>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</si>
  <si>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</si>
  <si>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</si>
  <si>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</si>
  <si>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</si>
  <si>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</si>
  <si>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</si>
  <si>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</si>
  <si>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</si>
  <si>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</si>
  <si>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</si>
  <si>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</si>
  <si>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</si>
  <si>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</si>
  <si>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</si>
  <si>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</si>
  <si>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</si>
  <si>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</si>
  <si>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</si>
  <si>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</si>
  <si>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</si>
  <si>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</si>
  <si>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</si>
  <si>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</si>
  <si>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</si>
  <si>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</si>
  <si>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</si>
  <si>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</si>
  <si>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</si>
  <si>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</si>
  <si>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</si>
  <si>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</si>
  <si>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</si>
  <si>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</si>
  <si>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</si>
  <si>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</si>
  <si>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</si>
  <si>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</si>
  <si>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</si>
  <si>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</si>
  <si>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</si>
  <si>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</si>
  <si>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</si>
  <si>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</si>
  <si>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</si>
  <si>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</si>
  <si>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</si>
  <si>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</si>
  <si>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</si>
  <si>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</si>
  <si>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</si>
  <si>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</si>
  <si>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</si>
  <si>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</si>
  <si>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</si>
  <si>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</si>
  <si>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</si>
  <si>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</si>
  <si>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</si>
  <si>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</si>
  <si>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</si>
  <si>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</si>
  <si>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</si>
  <si>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</si>
  <si>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</si>
  <si>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</si>
  <si>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</si>
  <si>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</si>
  <si>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</si>
  <si>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</si>
  <si>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</si>
  <si>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</si>
  <si>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</si>
  <si>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</si>
  <si>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</si>
  <si>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</si>
  <si>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</si>
  <si>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</si>
  <si>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</si>
  <si>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</si>
  <si>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</si>
  <si>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</si>
  <si>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</si>
  <si>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</si>
  <si>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</si>
  <si>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</si>
  <si>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</si>
  <si>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</si>
  <si>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</si>
  <si>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</si>
  <si>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</si>
  <si>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</si>
  <si>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</si>
  <si>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</si>
  <si>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</si>
  <si>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</si>
  <si>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</si>
  <si>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</si>
  <si>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</si>
  <si>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</si>
  <si>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</si>
  <si>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</si>
  <si>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</si>
  <si>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</si>
  <si>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</si>
  <si>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</si>
  <si>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</si>
  <si>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</si>
  <si>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</si>
  <si>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</si>
  <si>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</si>
  <si>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</si>
  <si>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</si>
  <si>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</si>
  <si>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</si>
  <si>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</si>
  <si>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</si>
  <si>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</si>
  <si>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</si>
  <si>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</si>
  <si>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</si>
  <si>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</si>
  <si>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</si>
  <si>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</si>
  <si>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</si>
  <si>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</si>
  <si>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</si>
  <si>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</si>
  <si>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</si>
  <si>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</si>
  <si>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</si>
  <si>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</si>
  <si>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</si>
  <si>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</si>
  <si>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</si>
  <si>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</si>
  <si>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</si>
  <si>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</si>
  <si>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</si>
  <si>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</si>
  <si>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</si>
  <si>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</si>
  <si>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</si>
  <si>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</si>
  <si>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</si>
  <si>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</si>
  <si>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</si>
  <si>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</si>
  <si>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</si>
  <si>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</si>
  <si>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</si>
  <si>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</si>
  <si>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</si>
  <si>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</si>
  <si>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</si>
  <si>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</si>
  <si>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</si>
  <si>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</si>
  <si>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</si>
  <si>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</si>
  <si>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</si>
  <si>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</si>
  <si>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</si>
  <si>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</si>
  <si>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</si>
  <si>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</si>
  <si>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</si>
  <si>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</si>
  <si>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</si>
  <si>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</si>
  <si>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</si>
  <si>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</si>
  <si>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</si>
  <si>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</si>
  <si>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</si>
  <si>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</si>
  <si>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</si>
  <si>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</si>
  <si>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</si>
  <si>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</si>
  <si>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</si>
  <si>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</si>
  <si>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</si>
  <si>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</si>
  <si>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</si>
  <si>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</si>
  <si>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</si>
  <si>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</si>
  <si>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</si>
  <si>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</si>
  <si>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</si>
  <si>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</si>
  <si>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</si>
  <si>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</si>
  <si>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</si>
  <si>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</si>
  <si>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</si>
  <si>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</si>
  <si>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</si>
  <si>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</si>
  <si>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</si>
  <si>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</si>
  <si>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</si>
  <si>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</si>
  <si>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</si>
  <si>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</si>
  <si>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</si>
  <si>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</si>
  <si>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</si>
  <si>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</si>
  <si>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</si>
  <si>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</si>
  <si>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</si>
  <si>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</si>
  <si>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</si>
  <si>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</si>
  <si>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</si>
  <si>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</si>
  <si>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</si>
  <si>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</si>
  <si>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</si>
  <si>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</si>
  <si>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</si>
  <si>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</si>
  <si>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</si>
  <si>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</si>
  <si>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</si>
  <si>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</si>
  <si>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</si>
  <si>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</si>
  <si>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</si>
  <si>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</si>
  <si>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</si>
  <si>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</si>
  <si>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</si>
  <si>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</si>
  <si>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</si>
  <si>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</si>
  <si>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</si>
  <si>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</si>
  <si>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</si>
  <si>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</si>
  <si>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</si>
  <si>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</si>
  <si>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</si>
  <si>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</si>
  <si>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</si>
  <si>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</si>
  <si>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</si>
  <si>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</si>
  <si>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</si>
  <si>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</si>
  <si>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</si>
  <si>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</si>
  <si>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</si>
  <si>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</si>
  <si>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</si>
  <si>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</si>
  <si>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</si>
  <si>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</si>
  <si>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</si>
  <si>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</si>
  <si>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</si>
  <si>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</si>
  <si>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</si>
  <si>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</si>
  <si>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</si>
  <si>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</si>
  <si>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</si>
  <si>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</si>
  <si>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</si>
  <si>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</si>
  <si>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</si>
  <si>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</si>
  <si>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</si>
  <si>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</si>
  <si>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</si>
  <si>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</si>
  <si>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</si>
  <si>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</si>
  <si>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</si>
  <si>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</si>
  <si>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</si>
  <si>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</si>
  <si>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</si>
  <si>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</si>
  <si>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</si>
  <si>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</si>
  <si>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</si>
  <si>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</si>
  <si>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</si>
  <si>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</si>
  <si>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</si>
  <si>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</si>
  <si>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</si>
  <si>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</si>
  <si>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</si>
  <si>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</si>
  <si>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</si>
  <si>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</si>
  <si>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</si>
  <si>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</si>
  <si>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</si>
  <si>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</si>
  <si>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</si>
  <si>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</si>
  <si>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</si>
  <si>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</si>
  <si>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</si>
  <si>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</si>
  <si>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</si>
  <si>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</si>
  <si>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</si>
  <si>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</si>
  <si>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</si>
  <si>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</si>
  <si>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</si>
  <si>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</si>
  <si>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</si>
  <si>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</si>
  <si>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</si>
  <si>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</si>
  <si>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</si>
  <si>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</si>
  <si>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</si>
  <si>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</si>
  <si>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</si>
  <si>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</si>
  <si>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</si>
  <si>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</si>
  <si>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</si>
  <si>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</si>
  <si>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</si>
  <si>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</si>
  <si>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</si>
  <si>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</si>
  <si>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</si>
  <si>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</si>
  <si>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</si>
  <si>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</si>
  <si>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</si>
  <si>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</si>
  <si>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</si>
  <si>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</si>
  <si>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</si>
  <si>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</si>
  <si>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</si>
  <si>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</si>
  <si>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</si>
  <si>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</si>
  <si>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</si>
  <si>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</si>
  <si>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</si>
  <si>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</si>
  <si>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</si>
  <si>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</si>
  <si>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</si>
  <si>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</si>
  <si>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</si>
  <si>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</si>
  <si>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</si>
  <si>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</si>
  <si>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</si>
  <si>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</si>
  <si>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</si>
  <si>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</si>
  <si>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</si>
  <si>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</si>
  <si>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</si>
  <si>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</si>
  <si>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</si>
  <si>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</si>
  <si>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</si>
  <si>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</si>
  <si>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</si>
  <si>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</si>
  <si>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</si>
  <si>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</si>
  <si>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</si>
  <si>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</si>
  <si>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</si>
  <si>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</si>
  <si>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</si>
  <si>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</si>
  <si>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</si>
  <si>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</si>
  <si>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</si>
  <si>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</si>
  <si>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</si>
  <si>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</si>
  <si>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</si>
  <si>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</si>
  <si>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</si>
  <si>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</si>
  <si>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</si>
  <si>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</si>
  <si>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</si>
  <si>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</si>
  <si>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</si>
  <si>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</si>
  <si>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</si>
  <si>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</si>
  <si>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</si>
  <si>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</si>
  <si>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</si>
  <si>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</si>
  <si>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</si>
  <si>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</si>
  <si>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</si>
  <si>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</si>
  <si>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</si>
  <si>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</si>
  <si>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</si>
  <si>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</si>
  <si>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</si>
  <si>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</si>
  <si>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</si>
  <si>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</si>
  <si>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</si>
  <si>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</si>
  <si>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</si>
  <si>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</si>
  <si>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</si>
  <si>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</si>
  <si>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</si>
  <si>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</si>
  <si>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</si>
  <si>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</si>
  <si>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</si>
  <si>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</si>
  <si>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</si>
  <si>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</si>
  <si>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</si>
  <si>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</si>
  <si>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</si>
  <si>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</si>
  <si>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</si>
  <si>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</si>
  <si>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</si>
  <si>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</si>
  <si>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</si>
  <si>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</si>
  <si>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</si>
  <si>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</si>
  <si>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</si>
  <si>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</si>
  <si>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</si>
  <si>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</si>
  <si>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</si>
  <si>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</si>
  <si>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</si>
  <si>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</si>
  <si>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</si>
  <si>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</si>
  <si>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</si>
  <si>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</si>
  <si>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</si>
  <si>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</si>
  <si>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</si>
  <si>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</si>
  <si>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</si>
  <si>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</si>
  <si>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</si>
  <si>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</si>
  <si>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</si>
  <si>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</si>
  <si>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</si>
  <si>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</si>
  <si>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</si>
  <si>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</si>
  <si>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</si>
  <si>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</si>
  <si>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</si>
  <si>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</si>
  <si>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</si>
  <si>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</si>
  <si>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</si>
  <si>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</si>
  <si>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</si>
  <si>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</si>
  <si>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</si>
  <si>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</si>
  <si>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</si>
  <si>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</si>
  <si>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</si>
  <si>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</si>
  <si>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</si>
  <si>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</si>
  <si>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</si>
  <si>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</si>
  <si>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</si>
  <si>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</si>
  <si>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</si>
  <si>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</si>
  <si>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</si>
  <si>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</si>
  <si>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</si>
  <si>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</si>
  <si>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</si>
  <si>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</si>
  <si>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</si>
  <si>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</si>
  <si>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</si>
  <si>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</si>
  <si>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</si>
  <si>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</si>
  <si>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</si>
  <si>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</si>
  <si>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</si>
  <si>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</si>
  <si>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</si>
  <si>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</si>
  <si>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</si>
  <si>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</si>
  <si>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</si>
  <si>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</si>
  <si>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</si>
  <si>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</si>
  <si>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</si>
  <si>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</si>
  <si>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</si>
  <si>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</si>
  <si>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</si>
  <si>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</si>
  <si>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</si>
  <si>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</si>
  <si>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</si>
  <si>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</si>
  <si>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</si>
  <si>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</si>
  <si>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</si>
  <si>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</si>
  <si>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</si>
  <si>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</si>
  <si>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</si>
  <si>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</si>
  <si>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</si>
  <si>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</si>
  <si>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</si>
  <si>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</si>
  <si>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</si>
  <si>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</si>
  <si>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</si>
  <si>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</si>
  <si>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</si>
  <si>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</si>
  <si>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</si>
  <si>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</si>
  <si>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</si>
  <si>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</si>
  <si>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</si>
  <si>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</si>
  <si>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</si>
  <si>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</si>
  <si>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</si>
  <si>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</si>
  <si>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</si>
  <si>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</si>
  <si>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</si>
  <si>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</si>
  <si>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</si>
  <si>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</si>
  <si>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</si>
  <si>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</si>
  <si>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</si>
  <si>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</si>
  <si>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</si>
  <si>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</si>
  <si>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</si>
  <si>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</si>
  <si>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</si>
  <si>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</si>
  <si>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</si>
  <si>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</si>
  <si>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</si>
  <si>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</si>
  <si>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</si>
  <si>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</si>
  <si>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</si>
  <si>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</si>
  <si>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</si>
  <si>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</si>
  <si>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</si>
  <si>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</si>
  <si>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</si>
  <si>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</si>
  <si>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тыс.руб./Гкал/ч</t>
  </si>
  <si>
    <t>обезвреживание</t>
  </si>
  <si>
    <t>тыс.руб.</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</si>
  <si>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</si>
  <si>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</si>
  <si>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</si>
  <si>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</si>
  <si>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</si>
  <si>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</si>
  <si>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</si>
  <si>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</si>
  <si>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</si>
  <si>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</si>
  <si>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</si>
  <si>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</si>
  <si>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</si>
  <si>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</si>
  <si>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</si>
  <si>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</si>
  <si>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</si>
  <si>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</si>
  <si>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</si>
  <si>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</si>
  <si>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</si>
  <si>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</si>
  <si>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</si>
  <si>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</si>
  <si>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</si>
  <si>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</si>
  <si>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</si>
  <si>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</si>
  <si>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</si>
  <si>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</si>
  <si>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</si>
  <si>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</si>
  <si>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</si>
  <si>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</si>
  <si>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</si>
  <si>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</si>
  <si>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</si>
  <si>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</si>
  <si>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</si>
  <si>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</si>
  <si>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</si>
  <si>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</si>
  <si>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</si>
  <si>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</si>
  <si>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</si>
  <si>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</si>
  <si>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</si>
  <si>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</si>
  <si>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</si>
  <si>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</si>
  <si>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</si>
  <si>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</si>
  <si>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</si>
  <si>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</si>
  <si>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</si>
  <si>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</si>
  <si>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</si>
  <si>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</si>
  <si>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</si>
  <si>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</si>
  <si>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</si>
  <si>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</si>
  <si>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</si>
  <si>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</si>
  <si>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</si>
  <si>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</si>
  <si>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</si>
  <si>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</si>
  <si>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</si>
  <si>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</si>
  <si>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</si>
  <si>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</si>
  <si>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</si>
  <si>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</si>
  <si>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</si>
  <si>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</si>
  <si>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</si>
  <si>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</si>
  <si>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</si>
  <si>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</si>
  <si>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</si>
  <si>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</si>
  <si>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</si>
  <si>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</si>
  <si>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</si>
  <si>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</si>
  <si>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</si>
  <si>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</si>
  <si>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</si>
  <si>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</si>
  <si>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</si>
  <si>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</si>
  <si>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</si>
  <si>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</si>
  <si>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</si>
  <si>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</si>
  <si>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</si>
  <si>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</si>
  <si>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</si>
  <si>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</si>
  <si>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</si>
  <si>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</si>
  <si>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</si>
  <si>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</si>
  <si>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</si>
  <si>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</si>
  <si>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</si>
  <si>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</si>
  <si>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</si>
  <si>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</si>
  <si>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</si>
  <si>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</si>
  <si>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</si>
  <si>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</si>
  <si>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</si>
  <si>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</si>
  <si>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</si>
  <si>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</si>
  <si>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</si>
  <si>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</si>
  <si>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</si>
  <si>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</si>
  <si>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</si>
  <si>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</si>
  <si>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</si>
  <si>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</si>
  <si>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</si>
  <si>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</si>
  <si>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</si>
  <si>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</si>
  <si>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</si>
  <si>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</si>
  <si>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</si>
  <si>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</si>
  <si>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</si>
  <si>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</si>
  <si>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</si>
  <si>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</si>
  <si>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</si>
  <si>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</si>
  <si>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</si>
  <si>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</si>
  <si>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</si>
  <si>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</si>
  <si>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</si>
  <si>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</si>
  <si>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</si>
  <si>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</si>
  <si>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</si>
  <si>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</si>
  <si>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</si>
  <si>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</si>
  <si>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</si>
  <si>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</si>
  <si>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</si>
  <si>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</si>
  <si>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</si>
  <si>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</si>
  <si>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</si>
  <si>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</si>
  <si>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</si>
  <si>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</si>
  <si>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</si>
  <si>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</si>
  <si>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</si>
  <si>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</si>
  <si>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</si>
  <si>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</si>
  <si>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</si>
  <si>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</si>
  <si>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</si>
  <si>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</si>
  <si>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</si>
  <si>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</si>
  <si>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</si>
  <si>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</si>
  <si>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</si>
  <si>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</si>
  <si>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</si>
  <si>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</si>
  <si>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</si>
  <si>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</si>
  <si>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</si>
  <si>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</si>
  <si>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</si>
  <si>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</si>
  <si>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</si>
  <si>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</si>
  <si>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</si>
  <si>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</si>
  <si>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</si>
  <si>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</si>
  <si>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</si>
  <si>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</si>
  <si>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</si>
  <si>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</si>
  <si>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</si>
  <si>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</si>
  <si>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</si>
  <si>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</si>
  <si>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</si>
  <si>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</si>
  <si>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</si>
  <si>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</si>
  <si>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</si>
  <si>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</si>
  <si>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</si>
  <si>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</si>
  <si>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</si>
  <si>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</si>
  <si>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</si>
  <si>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</si>
  <si>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</si>
  <si>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</si>
  <si>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</si>
  <si>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</si>
  <si>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</si>
  <si>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</si>
  <si>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</si>
  <si>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</si>
  <si>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</si>
  <si>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</si>
  <si>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</si>
  <si>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</si>
  <si>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</si>
  <si>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</si>
  <si>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</si>
  <si>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</si>
  <si>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</si>
  <si>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</si>
  <si>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</si>
  <si>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</si>
  <si>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</si>
  <si>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</si>
  <si>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</si>
  <si>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</si>
  <si>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</si>
  <si>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</si>
  <si>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</si>
  <si>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</si>
  <si>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</si>
  <si>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</si>
  <si>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</si>
  <si>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</si>
  <si>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</si>
  <si>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</si>
  <si>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</si>
  <si>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</si>
  <si>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</si>
  <si>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</si>
  <si>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</si>
  <si>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</si>
  <si>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</si>
  <si>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</si>
  <si>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</si>
  <si>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</si>
  <si>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</si>
  <si>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</si>
  <si>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</si>
  <si>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</si>
  <si>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</si>
  <si>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</si>
  <si>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</si>
  <si>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</si>
  <si>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</si>
  <si>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</si>
  <si>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</si>
  <si>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</si>
  <si>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</si>
  <si>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</si>
  <si>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</si>
  <si>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</si>
  <si>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</si>
  <si>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</si>
  <si>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</si>
  <si>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</si>
  <si>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</si>
  <si>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</si>
  <si>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</si>
  <si>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</si>
  <si>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</si>
  <si>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</si>
  <si>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</si>
  <si>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</si>
  <si>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</si>
  <si>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</si>
  <si>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</si>
  <si>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</si>
  <si>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</si>
  <si>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</si>
  <si>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</si>
  <si>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</si>
  <si>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</si>
  <si>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</si>
  <si>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</si>
  <si>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</si>
  <si>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</si>
  <si>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</si>
  <si>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</si>
  <si>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</si>
  <si>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</si>
  <si>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</si>
  <si>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</si>
  <si>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</si>
  <si>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</si>
  <si>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</si>
  <si>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</si>
  <si>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</si>
  <si>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</si>
  <si>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</si>
  <si>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</si>
  <si>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</si>
  <si>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</si>
  <si>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</si>
  <si>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</si>
  <si>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</si>
  <si>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</si>
  <si>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</si>
  <si>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</si>
  <si>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</si>
  <si>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vertAlign val="superscript"/>
        <sz val="10"/>
        <rFont val="Tahoma"/>
        <family val="2"/>
        <charset val="204"/>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</si>
  <si>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</si>
  <si>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</si>
  <si>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</si>
  <si>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</si>
  <si>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</si>
  <si>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</si>
  <si>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</si>
  <si>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</si>
  <si>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</si>
  <si>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</si>
  <si>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</si>
  <si>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</si>
  <si>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</si>
  <si>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</si>
  <si>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</si>
  <si>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</si>
  <si>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</si>
  <si>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</si>
  <si>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</si>
  <si>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</si>
  <si>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</si>
  <si>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</si>
  <si>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</si>
  <si>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2636</t>
  </si>
  <si>
    <t>26560525</t>
  </si>
  <si>
    <t>АО "ГУ ЖКХ"</t>
  </si>
  <si>
    <t>5116000922</t>
  </si>
  <si>
    <t>511601001</t>
  </si>
  <si>
    <t>13-05-2009 00:00:00</t>
  </si>
  <si>
    <t>30373688</t>
  </si>
  <si>
    <t>583645001</t>
  </si>
  <si>
    <t>26319940</t>
  </si>
  <si>
    <t>АО "Пензенская Горэлектросеть"</t>
  </si>
  <si>
    <t>5836601606</t>
  </si>
  <si>
    <t>583601001</t>
  </si>
  <si>
    <t>30360725</t>
  </si>
  <si>
    <t>АО "Пензтеплоснабжение"</t>
  </si>
  <si>
    <t>5836631600</t>
  </si>
  <si>
    <t>26546012</t>
  </si>
  <si>
    <t>АО "РЭУ"</t>
  </si>
  <si>
    <t>7714783092</t>
  </si>
  <si>
    <t>644943001</t>
  </si>
  <si>
    <t>31412502</t>
  </si>
  <si>
    <t>АО "ФНПЦ "ПО "Старт" им. М.В. Проценко"</t>
  </si>
  <si>
    <t>5838013374</t>
  </si>
  <si>
    <t>583801001</t>
  </si>
  <si>
    <t>30360685</t>
  </si>
  <si>
    <t>АО "ЦМК-Энерго"</t>
  </si>
  <si>
    <t>7705596057</t>
  </si>
  <si>
    <t>770501001</t>
  </si>
  <si>
    <t>26442820</t>
  </si>
  <si>
    <t>АО "Энергоснабжающее предприятие"</t>
  </si>
  <si>
    <t>5834006256</t>
  </si>
  <si>
    <t>583401001</t>
  </si>
  <si>
    <t>26485308</t>
  </si>
  <si>
    <t>АО “РЭУ” “Самарский”</t>
  </si>
  <si>
    <t>631143001</t>
  </si>
  <si>
    <t>30366451</t>
  </si>
  <si>
    <t>ГАПОУ ПО "Пензенский многопрофильный колледж"</t>
  </si>
  <si>
    <t>5834007436</t>
  </si>
  <si>
    <t>583701001</t>
  </si>
  <si>
    <t>28870295</t>
  </si>
  <si>
    <t>ГБУ Пензенский областной центр реабилитации</t>
  </si>
  <si>
    <t>5836010040</t>
  </si>
  <si>
    <t>28453297</t>
  </si>
  <si>
    <t>ГБУЗ "Областная наркологическая больница"</t>
  </si>
  <si>
    <t>5835040860</t>
  </si>
  <si>
    <t>26444076</t>
  </si>
  <si>
    <t>ГОУ СПО Пензенской области "ПАТК"</t>
  </si>
  <si>
    <t>28870112</t>
  </si>
  <si>
    <t>ЗАО Теплоэнергетическая компания Пензенской области</t>
  </si>
  <si>
    <t>5821901653</t>
  </si>
  <si>
    <t>582101001</t>
  </si>
  <si>
    <t>31382238</t>
  </si>
  <si>
    <t>ИП Задояная Ксения Анатольевна</t>
  </si>
  <si>
    <t>590422002896</t>
  </si>
  <si>
    <t>01-01-2020 00:00:00</t>
  </si>
  <si>
    <t>26485289</t>
  </si>
  <si>
    <t>КРУ АО "Транснефть - Дружба"</t>
  </si>
  <si>
    <t>3235002178</t>
  </si>
  <si>
    <t>636232001</t>
  </si>
  <si>
    <t>26812367</t>
  </si>
  <si>
    <t>Куйбышевская дирекция  по тепловодоснабжению структурное подразделение Центральной дирекции по тепловодоснабжению филиала ПАО «РЖД»</t>
  </si>
  <si>
    <t>7708503727</t>
  </si>
  <si>
    <t>631145034</t>
  </si>
  <si>
    <t>31282569</t>
  </si>
  <si>
    <t>ЛПДС "Башмаково" филиала ПРУ АО "Транснефть-Дружба"</t>
  </si>
  <si>
    <t>580602001</t>
  </si>
  <si>
    <t>31282576</t>
  </si>
  <si>
    <t>ЛПДС "Пенза" филиала ПРУ АО "Транснефть-Дружба"</t>
  </si>
  <si>
    <t>580931001</t>
  </si>
  <si>
    <t>26524341</t>
  </si>
  <si>
    <t>ЛПДС "Пенза-2" филиала ПРУ АО "Транснефть-Дружба"</t>
  </si>
  <si>
    <t>583545001</t>
  </si>
  <si>
    <t>26824736</t>
  </si>
  <si>
    <t>ЛПДС "Соседка" филиала ПРУ АО "Транснефть-Дружба"</t>
  </si>
  <si>
    <t>580645001</t>
  </si>
  <si>
    <t>26443935</t>
  </si>
  <si>
    <t>ЛПУ "Санаторий им.В.В. Володарского"</t>
  </si>
  <si>
    <t>5834013694</t>
  </si>
  <si>
    <t>26359217</t>
  </si>
  <si>
    <t>ЛПУ санаторий "Березовая роща"</t>
  </si>
  <si>
    <t>5829120010</t>
  </si>
  <si>
    <t>582901001</t>
  </si>
  <si>
    <t>26774696</t>
  </si>
  <si>
    <t>ЛПУ санаторий имени С.М. Кирова</t>
  </si>
  <si>
    <t>5834014063</t>
  </si>
  <si>
    <t>28040521</t>
  </si>
  <si>
    <t>МБУК "межпоселенческий центральный районный Дом Культуры"</t>
  </si>
  <si>
    <t>5826105736</t>
  </si>
  <si>
    <t>582601001</t>
  </si>
  <si>
    <t>26359195</t>
  </si>
  <si>
    <t>МКП "Жилсервис"</t>
  </si>
  <si>
    <t>5809126422</t>
  </si>
  <si>
    <t>580901001</t>
  </si>
  <si>
    <t>31678636</t>
  </si>
  <si>
    <t>МКП "Коммунальщик"</t>
  </si>
  <si>
    <t>5826007545</t>
  </si>
  <si>
    <t>31543667</t>
  </si>
  <si>
    <t>МКП "Лунинское ЖКХ"</t>
  </si>
  <si>
    <t>5821005047</t>
  </si>
  <si>
    <t>26-11-2019 00:00:00</t>
  </si>
  <si>
    <t>31449856</t>
  </si>
  <si>
    <t>МКП "ТЕПЛОКОМ"</t>
  </si>
  <si>
    <t>5827002420</t>
  </si>
  <si>
    <t>582701001</t>
  </si>
  <si>
    <t>02-09-2020 00:00:00</t>
  </si>
  <si>
    <t>27662791</t>
  </si>
  <si>
    <t>МКП "Тепловодоснабжение" Белинского района</t>
  </si>
  <si>
    <t>5810007003</t>
  </si>
  <si>
    <t>581001001</t>
  </si>
  <si>
    <t>31436980</t>
  </si>
  <si>
    <t>МКП "Теплосеть"</t>
  </si>
  <si>
    <t>5803030668</t>
  </si>
  <si>
    <t>580301001</t>
  </si>
  <si>
    <t>15-06-2020 00:00:00</t>
  </si>
  <si>
    <t>31343153</t>
  </si>
  <si>
    <t>5805014005</t>
  </si>
  <si>
    <t>580501001</t>
  </si>
  <si>
    <t>26359226</t>
  </si>
  <si>
    <t>МКП "Теплоснабжение г. Пензы"</t>
  </si>
  <si>
    <t>5836013530</t>
  </si>
  <si>
    <t>31382368</t>
  </si>
  <si>
    <t>МКП «Кижеватовское»</t>
  </si>
  <si>
    <t>5809004569</t>
  </si>
  <si>
    <t>26359214</t>
  </si>
  <si>
    <t>ММУП  ЖКХ "Леонидовка"</t>
  </si>
  <si>
    <t>5829030415</t>
  </si>
  <si>
    <t>26359212</t>
  </si>
  <si>
    <t>МУП "Богословка"</t>
  </si>
  <si>
    <t>5829024757</t>
  </si>
  <si>
    <t>30360697</t>
  </si>
  <si>
    <t>МУП "ГАРАНТ"</t>
  </si>
  <si>
    <t>5816004802</t>
  </si>
  <si>
    <t>581601001</t>
  </si>
  <si>
    <t>26359204</t>
  </si>
  <si>
    <t>МУП "Жилкомсервис"</t>
  </si>
  <si>
    <t>5823100031</t>
  </si>
  <si>
    <t>582301001</t>
  </si>
  <si>
    <t>26444147</t>
  </si>
  <si>
    <t>МУП "Зеленое хозяйство"</t>
  </si>
  <si>
    <t>5837024052</t>
  </si>
  <si>
    <t>26430837</t>
  </si>
  <si>
    <t>МУП "Исток"</t>
  </si>
  <si>
    <t>5809000187</t>
  </si>
  <si>
    <t>26359177</t>
  </si>
  <si>
    <t>МУП "Каменская горэлектротеплосеть"</t>
  </si>
  <si>
    <t>5802001897</t>
  </si>
  <si>
    <t>580201001</t>
  </si>
  <si>
    <t>27601931</t>
  </si>
  <si>
    <t>МУП "Камешкирское коммунальное хозяйство"</t>
  </si>
  <si>
    <t>5816004457</t>
  </si>
  <si>
    <t>28461620</t>
  </si>
  <si>
    <t>МУП "Коммунальное хозяйство"</t>
  </si>
  <si>
    <t>5831901081</t>
  </si>
  <si>
    <t>583101001</t>
  </si>
  <si>
    <t>26359202</t>
  </si>
  <si>
    <t>МУП "Кондольское МПО ЖКХ"</t>
  </si>
  <si>
    <t>5818000497</t>
  </si>
  <si>
    <t>581801001</t>
  </si>
  <si>
    <t>26359213</t>
  </si>
  <si>
    <t>МУП "Ленинский ЖЭУ"</t>
  </si>
  <si>
    <t>5829030253</t>
  </si>
  <si>
    <t>26359207</t>
  </si>
  <si>
    <t>МУП "Никольское ЖКХ"</t>
  </si>
  <si>
    <t>5826000821</t>
  </si>
  <si>
    <t>26429945</t>
  </si>
  <si>
    <t>МУП "По очистке города"</t>
  </si>
  <si>
    <t>5837003711</t>
  </si>
  <si>
    <t>26359216</t>
  </si>
  <si>
    <t>МУП "Прогресс"</t>
  </si>
  <si>
    <t>5829100060</t>
  </si>
  <si>
    <t>26444031</t>
  </si>
  <si>
    <t>МУП "Сердобская теплосеть"</t>
  </si>
  <si>
    <t>5805008996</t>
  </si>
  <si>
    <t>10-04-2023 00:00:00</t>
  </si>
  <si>
    <t>27424050</t>
  </si>
  <si>
    <t>МУП "Теплоснабжение"</t>
  </si>
  <si>
    <t>5812901262</t>
  </si>
  <si>
    <t>581201001</t>
  </si>
  <si>
    <t>26434895</t>
  </si>
  <si>
    <t>МУП ЖКХ "Варваровское"</t>
  </si>
  <si>
    <t>5802003630</t>
  </si>
  <si>
    <t>27574180</t>
  </si>
  <si>
    <t>МУП ЖКХ "Мещерского сельсовета"</t>
  </si>
  <si>
    <t>5805008280</t>
  </si>
  <si>
    <t>28007102</t>
  </si>
  <si>
    <t>МУП ЖКХ "Саловка"</t>
  </si>
  <si>
    <t>5829901327</t>
  </si>
  <si>
    <t>26535200</t>
  </si>
  <si>
    <t>МУП ЖКХ "Сокольское"</t>
  </si>
  <si>
    <t>5805010392</t>
  </si>
  <si>
    <t>31451259</t>
  </si>
  <si>
    <t>МУП ЖКХ "Старокаменское"</t>
  </si>
  <si>
    <t>5829004912</t>
  </si>
  <si>
    <t>20-05-2019 00:00:00</t>
  </si>
  <si>
    <t>28873042</t>
  </si>
  <si>
    <t>МУП ЖКХ "Универсал"</t>
  </si>
  <si>
    <t>5805012463</t>
  </si>
  <si>
    <t>15-05-2012 00:00:00</t>
  </si>
  <si>
    <t>28453440</t>
  </si>
  <si>
    <t>МУП Земетчинское</t>
  </si>
  <si>
    <t>5813003952</t>
  </si>
  <si>
    <t>581301001</t>
  </si>
  <si>
    <t>28869580</t>
  </si>
  <si>
    <t>МУП Сервис</t>
  </si>
  <si>
    <t>5812902594</t>
  </si>
  <si>
    <t>27662788</t>
  </si>
  <si>
    <t>МЭУ Бессоновского района</t>
  </si>
  <si>
    <t>5809026690</t>
  </si>
  <si>
    <t>26359176</t>
  </si>
  <si>
    <t>ОАО "Атмис-сахар"</t>
  </si>
  <si>
    <t>5802000692</t>
  </si>
  <si>
    <t>26444113</t>
  </si>
  <si>
    <t>ОАО "НИИФИ"</t>
  </si>
  <si>
    <t>5836636246</t>
  </si>
  <si>
    <t>26442836</t>
  </si>
  <si>
    <t>ОАО "Пензхиммаш"</t>
  </si>
  <si>
    <t>5835009394</t>
  </si>
  <si>
    <t>583501001</t>
  </si>
  <si>
    <t>26355816</t>
  </si>
  <si>
    <t>ОАО МН "Дружба"</t>
  </si>
  <si>
    <t>323502001</t>
  </si>
  <si>
    <t>26756999</t>
  </si>
  <si>
    <t>ООО "Водоканал"</t>
  </si>
  <si>
    <t>5829731435</t>
  </si>
  <si>
    <t>28453023</t>
  </si>
  <si>
    <t>ООО "ГКС Энерго"</t>
  </si>
  <si>
    <t>5836657126</t>
  </si>
  <si>
    <t>27568718</t>
  </si>
  <si>
    <t>ООО "Гелиос"</t>
  </si>
  <si>
    <t>5805011702</t>
  </si>
  <si>
    <t>27-01-2023 00:00:00</t>
  </si>
  <si>
    <t>26359229</t>
  </si>
  <si>
    <t>ООО "Гипромаш"</t>
  </si>
  <si>
    <t>5836622317</t>
  </si>
  <si>
    <t>28453625</t>
  </si>
  <si>
    <t>ООО "Группа Компаний "ЦеСИС"</t>
  </si>
  <si>
    <t>5838043890</t>
  </si>
  <si>
    <t>28040276</t>
  </si>
  <si>
    <t>ООО "Земетчиноавтодор"</t>
  </si>
  <si>
    <t>5813003617</t>
  </si>
  <si>
    <t>31342276</t>
  </si>
  <si>
    <t>ООО "Инвайт"</t>
  </si>
  <si>
    <t>5837074014</t>
  </si>
  <si>
    <t>28039924</t>
  </si>
  <si>
    <t>ООО "Инвест-Энерго"</t>
  </si>
  <si>
    <t>5836650233</t>
  </si>
  <si>
    <t>26359211</t>
  </si>
  <si>
    <t>ООО "Каменка"</t>
  </si>
  <si>
    <t>5829121831</t>
  </si>
  <si>
    <t>31193220</t>
  </si>
  <si>
    <t>ООО "Мечта"</t>
  </si>
  <si>
    <t>5805010875</t>
  </si>
  <si>
    <t>27718021</t>
  </si>
  <si>
    <t>ООО "Очаг"</t>
  </si>
  <si>
    <t>5813004787</t>
  </si>
  <si>
    <t>31339233</t>
  </si>
  <si>
    <t>ООО "Партнер"</t>
  </si>
  <si>
    <t>5837070362</t>
  </si>
  <si>
    <t>28040058</t>
  </si>
  <si>
    <t>ООО "Пивоваренный завод "Самко"</t>
  </si>
  <si>
    <t>5836602198</t>
  </si>
  <si>
    <t>31563326</t>
  </si>
  <si>
    <t>ООО "РТК"</t>
  </si>
  <si>
    <t>5805014326</t>
  </si>
  <si>
    <t>23-04-2021 00:00:00</t>
  </si>
  <si>
    <t>30862264</t>
  </si>
  <si>
    <t>ООО "Ресурс"</t>
  </si>
  <si>
    <t>5817007073</t>
  </si>
  <si>
    <t>581701001</t>
  </si>
  <si>
    <t>26359228</t>
  </si>
  <si>
    <t>ООО "Серебряный бор"</t>
  </si>
  <si>
    <t>5836616793</t>
  </si>
  <si>
    <t>583406001</t>
  </si>
  <si>
    <t>26444212</t>
  </si>
  <si>
    <t>ООО "Союз"</t>
  </si>
  <si>
    <t>5819004230</t>
  </si>
  <si>
    <t>26319927</t>
  </si>
  <si>
    <t>ООО "Спичечная фабрика "Победа"</t>
  </si>
  <si>
    <t>5827008044</t>
  </si>
  <si>
    <t>28455633</t>
  </si>
  <si>
    <t>ООО "Стимул"</t>
  </si>
  <si>
    <t>5833001985</t>
  </si>
  <si>
    <t>583301001</t>
  </si>
  <si>
    <t>30862249</t>
  </si>
  <si>
    <t>ООО "Строй-Газ-Сервис"</t>
  </si>
  <si>
    <t>5837018796</t>
  </si>
  <si>
    <t>28039848</t>
  </si>
  <si>
    <t>ООО "Строй-Тепло-Сервис"</t>
  </si>
  <si>
    <t>5835086945</t>
  </si>
  <si>
    <t>30360731</t>
  </si>
  <si>
    <t>ООО "ТЕПЛОБЫТСЕРВИС"</t>
  </si>
  <si>
    <t>5809902890</t>
  </si>
  <si>
    <t>30370336</t>
  </si>
  <si>
    <t>ООО "ТЕПЛОКОМ"</t>
  </si>
  <si>
    <t>5834111740</t>
  </si>
  <si>
    <t>30370351</t>
  </si>
  <si>
    <t>ООО "ТЕПЛОЦЕНТРАЛЬ"</t>
  </si>
  <si>
    <t>5837038841</t>
  </si>
  <si>
    <t>31451039</t>
  </si>
  <si>
    <t>ООО "ТК"</t>
  </si>
  <si>
    <t>5837078393</t>
  </si>
  <si>
    <t>06-07-2020 00:00:00</t>
  </si>
  <si>
    <t>31339621</t>
  </si>
  <si>
    <t>ООО "ТеплоВдом"</t>
  </si>
  <si>
    <t>5809004544</t>
  </si>
  <si>
    <t>31413152</t>
  </si>
  <si>
    <t>ООО "ТеплоРесурс"</t>
  </si>
  <si>
    <t>5821005008</t>
  </si>
  <si>
    <t>30862363</t>
  </si>
  <si>
    <t>ООО "ТеплоСервис"</t>
  </si>
  <si>
    <t>5823008879</t>
  </si>
  <si>
    <t>30924235</t>
  </si>
  <si>
    <t>ООО "Тепловек"</t>
  </si>
  <si>
    <t>5837069335</t>
  </si>
  <si>
    <t>31215856</t>
  </si>
  <si>
    <t>ООО "Территория жизни"</t>
  </si>
  <si>
    <t>5836661813</t>
  </si>
  <si>
    <t>28453461</t>
  </si>
  <si>
    <t>ООО "Энергоаудитконсалтинг"</t>
  </si>
  <si>
    <t>5836626738</t>
  </si>
  <si>
    <t>26359190</t>
  </si>
  <si>
    <t>ООО "Энергосервис"</t>
  </si>
  <si>
    <t>5807003619</t>
  </si>
  <si>
    <t>580701001</t>
  </si>
  <si>
    <t>26359198</t>
  </si>
  <si>
    <t>5812006319</t>
  </si>
  <si>
    <t>31461341</t>
  </si>
  <si>
    <t>ООО "Энергоцентр "Мокшан"</t>
  </si>
  <si>
    <t>5836689350</t>
  </si>
  <si>
    <t>18-02-2019 00:00:00</t>
  </si>
  <si>
    <t>28872733</t>
  </si>
  <si>
    <t>ООО КОМЭНЕРГО</t>
  </si>
  <si>
    <t>5809902523</t>
  </si>
  <si>
    <t>27728703</t>
  </si>
  <si>
    <t>ООО ПКФ "Энергетик-2001"</t>
  </si>
  <si>
    <t>5835037909</t>
  </si>
  <si>
    <t>28870374</t>
  </si>
  <si>
    <t>ООО ЭнергоПромРесурс</t>
  </si>
  <si>
    <t>5838009515</t>
  </si>
  <si>
    <t>26359201</t>
  </si>
  <si>
    <t>ООО санаторий "Хопровские зори"</t>
  </si>
  <si>
    <t>5817000430</t>
  </si>
  <si>
    <t>26774687</t>
  </si>
  <si>
    <t>ПКФ "Термодом"</t>
  </si>
  <si>
    <t>5838041075</t>
  </si>
  <si>
    <t>28453546</t>
  </si>
  <si>
    <t>ПТЖТ - филиал СамГУПС</t>
  </si>
  <si>
    <t>6318100463</t>
  </si>
  <si>
    <t>583443001</t>
  </si>
  <si>
    <t>28039968</t>
  </si>
  <si>
    <t>ФБУ "ФУ БХУХО" (войсковая часть 21222)</t>
  </si>
  <si>
    <t>7724729390</t>
  </si>
  <si>
    <t>582943001</t>
  </si>
  <si>
    <t>26319941</t>
  </si>
  <si>
    <t>ФБУ ИК-5 УФСИН России</t>
  </si>
  <si>
    <t>5837012307</t>
  </si>
  <si>
    <t>26319934</t>
  </si>
  <si>
    <t>ФГУП "Госкорпорация по ОрВД в РФ" Пензенский Центр ОВД</t>
  </si>
  <si>
    <t>7734135124</t>
  </si>
  <si>
    <t>583732001</t>
  </si>
  <si>
    <t>27568459</t>
  </si>
  <si>
    <t>ФКУ "Войсковая часть 45108"</t>
  </si>
  <si>
    <t>5819003660</t>
  </si>
  <si>
    <t>26359222</t>
  </si>
  <si>
    <t>ФКУ ИК-4 УФСИН России</t>
  </si>
  <si>
    <t>5834014747</t>
  </si>
  <si>
    <t>28870318</t>
  </si>
  <si>
    <t>Филиал "Мордовский" ПАО "Т Плюс"</t>
  </si>
  <si>
    <t>6315376946</t>
  </si>
  <si>
    <t>15-06-2015 00:00:00</t>
  </si>
  <si>
    <t>28040032</t>
  </si>
  <si>
    <t>Филиал ООО "Газпром трансгаз Нижний Новгород"-"Волгоавтогаз"</t>
  </si>
  <si>
    <t>5260080007</t>
  </si>
  <si>
    <t>582903001</t>
  </si>
  <si>
    <t>30914574</t>
  </si>
  <si>
    <t>Филиал ФГБУ "ЦЖКУ" МИНОБОРОНЫ РОССИИ (по ЦВО)</t>
  </si>
  <si>
    <t>7729314745</t>
  </si>
  <si>
    <t>667043001</t>
  </si>
  <si>
    <t>28456756</t>
  </si>
  <si>
    <t>АО "Земетчинский сахарный завод"</t>
  </si>
  <si>
    <t>5813003663</t>
  </si>
  <si>
    <t>28043734</t>
  </si>
  <si>
    <t>Башмаковское ЛПУ МГ</t>
  </si>
  <si>
    <t>6453010110</t>
  </si>
  <si>
    <t>26774909</t>
  </si>
  <si>
    <t>ЗАО "Белинсксельмаш"</t>
  </si>
  <si>
    <t>5802003037</t>
  </si>
  <si>
    <t>26776202</t>
  </si>
  <si>
    <t>ИП Девликамов К.А.</t>
  </si>
  <si>
    <t>580201733500</t>
  </si>
  <si>
    <t>30400932</t>
  </si>
  <si>
    <t>ИП Денисов А.И.</t>
  </si>
  <si>
    <t>581000340003</t>
  </si>
  <si>
    <t>14-10-2013 00:00:00</t>
  </si>
  <si>
    <t>28-02-2023 00:00:00</t>
  </si>
  <si>
    <t>31468064</t>
  </si>
  <si>
    <t>ИП Ионова Л.В.</t>
  </si>
  <si>
    <t>580301610332</t>
  </si>
  <si>
    <t>27577685</t>
  </si>
  <si>
    <t>ИП Меньшов С.И.</t>
  </si>
  <si>
    <t>580300194785</t>
  </si>
  <si>
    <t>28054441</t>
  </si>
  <si>
    <t>ИП Сухов В.А.</t>
  </si>
  <si>
    <t>581002090341</t>
  </si>
  <si>
    <t>30862204</t>
  </si>
  <si>
    <t>ИП Тенишев Р.А.</t>
  </si>
  <si>
    <t>580316729228</t>
  </si>
  <si>
    <t>01-07-2016 00:00:00</t>
  </si>
  <si>
    <t>27667515</t>
  </si>
  <si>
    <t>ИП Фомин Д.А.</t>
  </si>
  <si>
    <t>645390471243</t>
  </si>
  <si>
    <t>28044037</t>
  </si>
  <si>
    <t>ИП Шалдыбин</t>
  </si>
  <si>
    <t>580310138003</t>
  </si>
  <si>
    <t>31598803</t>
  </si>
  <si>
    <t>МКП "ВодКомСервис"</t>
  </si>
  <si>
    <t>5823009449</t>
  </si>
  <si>
    <t>26430782</t>
  </si>
  <si>
    <t>МКП "Водоканал"</t>
  </si>
  <si>
    <t>5805000355</t>
  </si>
  <si>
    <t>30840596</t>
  </si>
  <si>
    <t>5827902420</t>
  </si>
  <si>
    <t>31503682</t>
  </si>
  <si>
    <t>МКП "Возрождение" Сердобского района</t>
  </si>
  <si>
    <t>5805014090</t>
  </si>
  <si>
    <t>30862209</t>
  </si>
  <si>
    <t>МКП "Горводоканал"</t>
  </si>
  <si>
    <t>5826006781</t>
  </si>
  <si>
    <t>31341931</t>
  </si>
  <si>
    <t>МКП "Иссинское" ЖКХ</t>
  </si>
  <si>
    <t>5814003497</t>
  </si>
  <si>
    <t>581401001</t>
  </si>
  <si>
    <t>31639949</t>
  </si>
  <si>
    <t>МКП "Коммунальное хозяйство"</t>
  </si>
  <si>
    <t>5808006041</t>
  </si>
  <si>
    <t>580801001</t>
  </si>
  <si>
    <t>31564990</t>
  </si>
  <si>
    <t>МКП "Пачелмское"</t>
  </si>
  <si>
    <t>5828003874</t>
  </si>
  <si>
    <t>582801001</t>
  </si>
  <si>
    <t>31649524</t>
  </si>
  <si>
    <t>МКП "Тамалинское ЖКХ"</t>
  </si>
  <si>
    <t>5802006119</t>
  </si>
  <si>
    <t>31489285</t>
  </si>
  <si>
    <t>МКП «Сосновское ЖКХ»</t>
  </si>
  <si>
    <t>5809004840</t>
  </si>
  <si>
    <t>31679227</t>
  </si>
  <si>
    <t>МКП ЖКХ</t>
  </si>
  <si>
    <t>5806000750</t>
  </si>
  <si>
    <t>580601001</t>
  </si>
  <si>
    <t>26434637</t>
  </si>
  <si>
    <t>МООО "Исток"</t>
  </si>
  <si>
    <t>5802004464</t>
  </si>
  <si>
    <t>26435304</t>
  </si>
  <si>
    <t>МП "Дельфа"</t>
  </si>
  <si>
    <t>5810006257</t>
  </si>
  <si>
    <t>31500121</t>
  </si>
  <si>
    <t>МУП  «Раздолье»</t>
  </si>
  <si>
    <t>5814901099</t>
  </si>
  <si>
    <t>25-12-2012 00:00:00</t>
  </si>
  <si>
    <t>26439191</t>
  </si>
  <si>
    <t>МУП "Авангард"</t>
  </si>
  <si>
    <t>5810006183</t>
  </si>
  <si>
    <t>26438171</t>
  </si>
  <si>
    <t>МУП "Большевьясское ЖКХ"</t>
  </si>
  <si>
    <t>5821004413</t>
  </si>
  <si>
    <t>26789698</t>
  </si>
  <si>
    <t>МУП "Водоканал"</t>
  </si>
  <si>
    <t>5803020780</t>
  </si>
  <si>
    <t>31651137</t>
  </si>
  <si>
    <t>МУП "Возрождение"</t>
  </si>
  <si>
    <t>5814901116</t>
  </si>
  <si>
    <t>27-12-2012 00:00:00</t>
  </si>
  <si>
    <t>26431267</t>
  </si>
  <si>
    <t>МУП "Грабовское ЖКХ"</t>
  </si>
  <si>
    <t>5809024847</t>
  </si>
  <si>
    <t>31667051</t>
  </si>
  <si>
    <t>МУП "Дуслык"</t>
  </si>
  <si>
    <t>5812009609</t>
  </si>
  <si>
    <t>12-09-2022 00:00:00</t>
  </si>
  <si>
    <t>27667523</t>
  </si>
  <si>
    <t>МУП "Еланское ЖКХ"</t>
  </si>
  <si>
    <t>5829030550</t>
  </si>
  <si>
    <t>27571890</t>
  </si>
  <si>
    <t>МУП "ЖКХ Долгоруковского сельсовета"</t>
  </si>
  <si>
    <t>5805011117</t>
  </si>
  <si>
    <t>27-06-2023 00:00:00</t>
  </si>
  <si>
    <t>26434740</t>
  </si>
  <si>
    <t>МУП "ЖКХ Мочалейское"</t>
  </si>
  <si>
    <t>5802004376</t>
  </si>
  <si>
    <t>26438146</t>
  </si>
  <si>
    <t>МУП "Засурское ЖКХ"</t>
  </si>
  <si>
    <t>5821004389</t>
  </si>
  <si>
    <t>26442181</t>
  </si>
  <si>
    <t>МУП "Каменно-Бродское ЖКХ"</t>
  </si>
  <si>
    <t>5814003031</t>
  </si>
  <si>
    <t>28445922</t>
  </si>
  <si>
    <t>МУП "Керенское коммунальное хозяйство"</t>
  </si>
  <si>
    <t>5811901333</t>
  </si>
  <si>
    <t>581101001</t>
  </si>
  <si>
    <t>31391581</t>
  </si>
  <si>
    <t>МУП "Липовское"</t>
  </si>
  <si>
    <t>5806000020</t>
  </si>
  <si>
    <t>26536467</t>
  </si>
  <si>
    <t>МУП "Наровчатское ЖКХ"</t>
  </si>
  <si>
    <t>5824400729</t>
  </si>
  <si>
    <t>582401001</t>
  </si>
  <si>
    <t>30921749</t>
  </si>
  <si>
    <t>МУП "Неверкинское ЖКХ"</t>
  </si>
  <si>
    <t>5825001903</t>
  </si>
  <si>
    <t>585825010</t>
  </si>
  <si>
    <t>31349173</t>
  </si>
  <si>
    <t>МУП "Новая вода"</t>
  </si>
  <si>
    <t>5812008884</t>
  </si>
  <si>
    <t>28876753</t>
  </si>
  <si>
    <t>МУП "Новошаткинское ЖКХ"</t>
  </si>
  <si>
    <t>5816004672</t>
  </si>
  <si>
    <t>31028395</t>
  </si>
  <si>
    <t>МУП "Родник"</t>
  </si>
  <si>
    <t>5809003371</t>
  </si>
  <si>
    <t>24-12-2015 00:00:00</t>
  </si>
  <si>
    <t>28876799</t>
  </si>
  <si>
    <t>МУП "Садовка"</t>
  </si>
  <si>
    <t>5831901324</t>
  </si>
  <si>
    <t>28878199</t>
  </si>
  <si>
    <t>МУП "Сура"</t>
  </si>
  <si>
    <t>5831901250</t>
  </si>
  <si>
    <t>29-01-2014 00:00:00</t>
  </si>
  <si>
    <t>31600963</t>
  </si>
  <si>
    <t>МУП "Чистая вода"</t>
  </si>
  <si>
    <t>5812009038</t>
  </si>
  <si>
    <t>31616632</t>
  </si>
  <si>
    <t>МУП "ЭКО"</t>
  </si>
  <si>
    <t>5812009278</t>
  </si>
  <si>
    <t>28878193</t>
  </si>
  <si>
    <t>МУП ЖКХ "Анучинское"</t>
  </si>
  <si>
    <t>5802006983</t>
  </si>
  <si>
    <t>26-01-2007 00:00:00</t>
  </si>
  <si>
    <t>28269073</t>
  </si>
  <si>
    <t>МУП ЖКХ "Головинщинское"</t>
  </si>
  <si>
    <t>5802003781</t>
  </si>
  <si>
    <t>26434654</t>
  </si>
  <si>
    <t>МУП ЖКХ "Завиваловское"</t>
  </si>
  <si>
    <t>5802003799</t>
  </si>
  <si>
    <t>26434915</t>
  </si>
  <si>
    <t>МУП ЖКХ "Казано-Арчадинское"</t>
  </si>
  <si>
    <t>5802006863</t>
  </si>
  <si>
    <t>26434686</t>
  </si>
  <si>
    <t>МУП ЖКХ "Калининское"</t>
  </si>
  <si>
    <t>5802003510</t>
  </si>
  <si>
    <t>26434704</t>
  </si>
  <si>
    <t>МУП ЖКХ "Кевденское"</t>
  </si>
  <si>
    <t>5802004640</t>
  </si>
  <si>
    <t>26434715</t>
  </si>
  <si>
    <t>МУП ЖКХ "Кочалейское"</t>
  </si>
  <si>
    <t>5802005740</t>
  </si>
  <si>
    <t>26434935</t>
  </si>
  <si>
    <t>МУП ЖКХ "Междуреченское"</t>
  </si>
  <si>
    <t>5802003809</t>
  </si>
  <si>
    <t>28005244</t>
  </si>
  <si>
    <t>5822003765</t>
  </si>
  <si>
    <t>582201001</t>
  </si>
  <si>
    <t>26434947</t>
  </si>
  <si>
    <t>МУП ЖКХ "Фёдоровское"</t>
  </si>
  <si>
    <t>5802004182</t>
  </si>
  <si>
    <t>26434941</t>
  </si>
  <si>
    <t>МУП ЖКХ Первомайское</t>
  </si>
  <si>
    <t>5802003848</t>
  </si>
  <si>
    <t>28535019</t>
  </si>
  <si>
    <t>МУП ЖКХ Рощинского сельсовета</t>
  </si>
  <si>
    <t>5805008675</t>
  </si>
  <si>
    <t>28873760</t>
  </si>
  <si>
    <t>МУП г. Спасска Спасского района Пензенской области "ПрофКомСервис"</t>
  </si>
  <si>
    <t>5807003873</t>
  </si>
  <si>
    <t>31290780</t>
  </si>
  <si>
    <t>НПС "Кузнецк" ПРУ АО "Транснефть - Дружба"</t>
  </si>
  <si>
    <t>580302001</t>
  </si>
  <si>
    <t>27567516</t>
  </si>
  <si>
    <t>ОАО "Земетчинский механический завод"</t>
  </si>
  <si>
    <t>5813000510</t>
  </si>
  <si>
    <t>26766412</t>
  </si>
  <si>
    <t>ОДО "Каменские водопроводные сети"</t>
  </si>
  <si>
    <t>5802008148</t>
  </si>
  <si>
    <t>28269065</t>
  </si>
  <si>
    <t>ООО "Абашево"</t>
  </si>
  <si>
    <t>5807901161</t>
  </si>
  <si>
    <t>28045210</t>
  </si>
  <si>
    <t>ООО "Агросервис"</t>
  </si>
  <si>
    <t>5831003031</t>
  </si>
  <si>
    <t>28876759</t>
  </si>
  <si>
    <t>ООО "Аква Сервис"</t>
  </si>
  <si>
    <t>5803024625</t>
  </si>
  <si>
    <t>26438334</t>
  </si>
  <si>
    <t>ООО "Аква"</t>
  </si>
  <si>
    <t>5833004270</t>
  </si>
  <si>
    <t>31307120</t>
  </si>
  <si>
    <t>ООО "Аквадар"</t>
  </si>
  <si>
    <t>5814003465</t>
  </si>
  <si>
    <t>25-05-2018 00:00:00</t>
  </si>
  <si>
    <t>30934634</t>
  </si>
  <si>
    <t>ООО "Альбатрос"</t>
  </si>
  <si>
    <t>5836616507</t>
  </si>
  <si>
    <t>31275790</t>
  </si>
  <si>
    <t>ООО "Байкал"</t>
  </si>
  <si>
    <t>5836682059</t>
  </si>
  <si>
    <t>17-04-2017 00:00:00</t>
  </si>
  <si>
    <t>31669179</t>
  </si>
  <si>
    <t>ООО "ВОДОЛЕЙ"</t>
  </si>
  <si>
    <t>5803031414</t>
  </si>
  <si>
    <t>26430817</t>
  </si>
  <si>
    <t>5810006176</t>
  </si>
  <si>
    <t>26435770</t>
  </si>
  <si>
    <t>5813004762</t>
  </si>
  <si>
    <t>26767248</t>
  </si>
  <si>
    <t>ООО "Водоснаб"</t>
  </si>
  <si>
    <t>5806901578</t>
  </si>
  <si>
    <t>30366432</t>
  </si>
  <si>
    <t>5827000020</t>
  </si>
  <si>
    <t>28876779</t>
  </si>
  <si>
    <t>ООО "Восток"</t>
  </si>
  <si>
    <t>5826107846</t>
  </si>
  <si>
    <t>26430663</t>
  </si>
  <si>
    <t>ООО "Горводоканал"</t>
  </si>
  <si>
    <t>5836623790</t>
  </si>
  <si>
    <t>26431654</t>
  </si>
  <si>
    <t>ООО "Городищеводснаб"</t>
  </si>
  <si>
    <t>5812007545</t>
  </si>
  <si>
    <t>30407372</t>
  </si>
  <si>
    <t>ООО "Жилищно-Коммунальное Хозяйство"</t>
  </si>
  <si>
    <t>5833006327</t>
  </si>
  <si>
    <t>26789723</t>
  </si>
  <si>
    <t>ООО "Исток"</t>
  </si>
  <si>
    <t>5808005224</t>
  </si>
  <si>
    <t>31684221</t>
  </si>
  <si>
    <t>ООО "Исток.РУ"</t>
  </si>
  <si>
    <t>5812008468</t>
  </si>
  <si>
    <t>26551424</t>
  </si>
  <si>
    <t>ООО "Кристалл один"</t>
  </si>
  <si>
    <t>5823350401</t>
  </si>
  <si>
    <t>30840589</t>
  </si>
  <si>
    <t>ООО "Кувак-Никольский родник"</t>
  </si>
  <si>
    <t>5827902269</t>
  </si>
  <si>
    <t>26774905</t>
  </si>
  <si>
    <t>ООО "Кургановский"</t>
  </si>
  <si>
    <t>5802007289</t>
  </si>
  <si>
    <t>28535029</t>
  </si>
  <si>
    <t>ООО "Лунинское"</t>
  </si>
  <si>
    <t>5821901371</t>
  </si>
  <si>
    <t>26432353</t>
  </si>
  <si>
    <t>ООО "Партнер-Сервис"</t>
  </si>
  <si>
    <t>5808004164</t>
  </si>
  <si>
    <t>28076087</t>
  </si>
  <si>
    <t>ООО "Пензастрой-сервис"</t>
  </si>
  <si>
    <t>5836627918</t>
  </si>
  <si>
    <t>28876765</t>
  </si>
  <si>
    <t>ООО "Погодки"</t>
  </si>
  <si>
    <t>5803004330</t>
  </si>
  <si>
    <t>26789711</t>
  </si>
  <si>
    <t>ООО "Родина"</t>
  </si>
  <si>
    <t>5824002830</t>
  </si>
  <si>
    <t>28463738</t>
  </si>
  <si>
    <t>ООО "Родник"</t>
  </si>
  <si>
    <t>5812902107</t>
  </si>
  <si>
    <t>26438355</t>
  </si>
  <si>
    <t>5833004288</t>
  </si>
  <si>
    <t>26432419</t>
  </si>
  <si>
    <t>ООО "Росич"</t>
  </si>
  <si>
    <t>5823007385</t>
  </si>
  <si>
    <t>28876723</t>
  </si>
  <si>
    <t>ООО "Свой дом"</t>
  </si>
  <si>
    <t>5836646685</t>
  </si>
  <si>
    <t>28456711</t>
  </si>
  <si>
    <t>ООО "Силвер"</t>
  </si>
  <si>
    <t>5823351726</t>
  </si>
  <si>
    <t>26435416</t>
  </si>
  <si>
    <t>ООО "Сосновское ЖКХ"</t>
  </si>
  <si>
    <t>5809126648</t>
  </si>
  <si>
    <t>31564206</t>
  </si>
  <si>
    <t>ООО "Спасск"</t>
  </si>
  <si>
    <t>5827001970</t>
  </si>
  <si>
    <t>01-01-2022 00:00:00</t>
  </si>
  <si>
    <t>31065058</t>
  </si>
  <si>
    <t>ООО "Спектр"</t>
  </si>
  <si>
    <t>5827902124</t>
  </si>
  <si>
    <t>26442202</t>
  </si>
  <si>
    <t>ООО "Труд"</t>
  </si>
  <si>
    <t>5826105782</t>
  </si>
  <si>
    <t>28534975</t>
  </si>
  <si>
    <t>ООО "УК "Степановское ЖКХ"</t>
  </si>
  <si>
    <t>5809901079</t>
  </si>
  <si>
    <t>31065802</t>
  </si>
  <si>
    <t>ООО "Услуга"</t>
  </si>
  <si>
    <t>5832005779</t>
  </si>
  <si>
    <t>583201001</t>
  </si>
  <si>
    <t>30852617</t>
  </si>
  <si>
    <t>ООО УК "Перспектива"</t>
  </si>
  <si>
    <t>5836660658</t>
  </si>
  <si>
    <t>28-03-2014 00:00:00</t>
  </si>
  <si>
    <t>26789713</t>
  </si>
  <si>
    <t>ПОК "Услуги"</t>
  </si>
  <si>
    <t>5826106708</t>
  </si>
  <si>
    <t>31290525</t>
  </si>
  <si>
    <t>ПРУ НПС "Ростовка" Филиал "Транснефть-Дружба"</t>
  </si>
  <si>
    <t>580232001</t>
  </si>
  <si>
    <t>26438285</t>
  </si>
  <si>
    <t>СОПК "Волна"</t>
  </si>
  <si>
    <t>5833005605</t>
  </si>
  <si>
    <t>27667492</t>
  </si>
  <si>
    <t>СОПК "СУ"</t>
  </si>
  <si>
    <t>5820004114</t>
  </si>
  <si>
    <t>582001001</t>
  </si>
  <si>
    <t>27577651</t>
  </si>
  <si>
    <t>СПК "Петровский"</t>
  </si>
  <si>
    <t>5806002877</t>
  </si>
  <si>
    <t>27667426</t>
  </si>
  <si>
    <t>СПК "Пыркинский"</t>
  </si>
  <si>
    <t>5809262030</t>
  </si>
  <si>
    <t>26774899</t>
  </si>
  <si>
    <t>СПК "Рассвет"</t>
  </si>
  <si>
    <t>5824000488</t>
  </si>
  <si>
    <t>27667562</t>
  </si>
  <si>
    <t>СПОК "Армиевский"</t>
  </si>
  <si>
    <t>5833005588</t>
  </si>
  <si>
    <t>31225822</t>
  </si>
  <si>
    <t>СПОК "ДУслык"</t>
  </si>
  <si>
    <t>5812000162</t>
  </si>
  <si>
    <t>31398203</t>
  </si>
  <si>
    <t>СПОК "Дигилевка"</t>
  </si>
  <si>
    <t>5812902690</t>
  </si>
  <si>
    <t>27667418</t>
  </si>
  <si>
    <t>СПОК "Исток"</t>
  </si>
  <si>
    <t>5810007719</t>
  </si>
  <si>
    <t>27667520</t>
  </si>
  <si>
    <t>СПОК "Источник"</t>
  </si>
  <si>
    <t>5822003596</t>
  </si>
  <si>
    <t>30365747</t>
  </si>
  <si>
    <t>СПОК "Ласкор"</t>
  </si>
  <si>
    <t>5813901201</t>
  </si>
  <si>
    <t>28076511</t>
  </si>
  <si>
    <t>СПОК "Помощник"</t>
  </si>
  <si>
    <t>5816004432</t>
  </si>
  <si>
    <t>28462746</t>
  </si>
  <si>
    <t>СПОК "Родничок"</t>
  </si>
  <si>
    <t>5823351170</t>
  </si>
  <si>
    <t>27667449</t>
  </si>
  <si>
    <t>СПОК "Содружество"</t>
  </si>
  <si>
    <t>5817006217</t>
  </si>
  <si>
    <t>27667504</t>
  </si>
  <si>
    <t>СПОК "Чистая вода"</t>
  </si>
  <si>
    <t>5822003758</t>
  </si>
  <si>
    <t>31279582</t>
  </si>
  <si>
    <t>СПОК Сервис</t>
  </si>
  <si>
    <t>5812008073</t>
  </si>
  <si>
    <t>26534955</t>
  </si>
  <si>
    <t>СПОСК "Исток"</t>
  </si>
  <si>
    <t>5813005004</t>
  </si>
  <si>
    <t>26534968</t>
  </si>
  <si>
    <t>СПОСК "Юрсово"</t>
  </si>
  <si>
    <t>5813004995</t>
  </si>
  <si>
    <t>28043633</t>
  </si>
  <si>
    <t>Управление ЖКХ ООО "Управляющая компания"</t>
  </si>
  <si>
    <t>5817005206</t>
  </si>
  <si>
    <t>28462713</t>
  </si>
  <si>
    <t>ФГКУ комбинат "Утес" Росрезерва г.Пензы</t>
  </si>
  <si>
    <t>5834004869</t>
  </si>
  <si>
    <t>28490975</t>
  </si>
  <si>
    <t>ФКУ ИК-8</t>
  </si>
  <si>
    <t>5834017297</t>
  </si>
  <si>
    <t>26456106</t>
  </si>
  <si>
    <t>Юго-Восточная дирекция по тепловодоснабжению - структурное подразделение Центральной дирекции по тепловодоснабжению - филиала ОАО "РЖД"</t>
  </si>
  <si>
    <t>770801002</t>
  </si>
  <si>
    <t>26526460</t>
  </si>
  <si>
    <t>Юго-Восточная дирекция по энергообеспечению структурное подразделение Трансэнерго - филиала  ОАО "РЖД"</t>
  </si>
  <si>
    <t>366645006</t>
  </si>
  <si>
    <t>28876791</t>
  </si>
  <si>
    <t>ГАУСО ПО "Грабовский психоневрологический интернат"</t>
  </si>
  <si>
    <t>5809012778</t>
  </si>
  <si>
    <t>26766426</t>
  </si>
  <si>
    <t>ОДО "Сети водоотведения города Каменки"</t>
  </si>
  <si>
    <t>5802008155</t>
  </si>
  <si>
    <t>31226364</t>
  </si>
  <si>
    <t>ООО "КоммуналСервис"</t>
  </si>
  <si>
    <t>5802003936</t>
  </si>
  <si>
    <t>31391718</t>
  </si>
  <si>
    <t>ООО "НГМА"</t>
  </si>
  <si>
    <t>7702381871</t>
  </si>
  <si>
    <t>773101001</t>
  </si>
  <si>
    <t>30365579</t>
  </si>
  <si>
    <t>ООО "Очистные сооружения"</t>
  </si>
  <si>
    <t>5812902770</t>
  </si>
  <si>
    <t>11-12-2014 00:00:00</t>
  </si>
  <si>
    <t>28054451</t>
  </si>
  <si>
    <t>5823901120</t>
  </si>
  <si>
    <t>28876734</t>
  </si>
  <si>
    <t>ООО "Пензапродкомбинат"</t>
  </si>
  <si>
    <t>5837018732</t>
  </si>
  <si>
    <t>27577727</t>
  </si>
  <si>
    <t>ООО "Радикс"</t>
  </si>
  <si>
    <t>5823350313</t>
  </si>
  <si>
    <t>26319949</t>
  </si>
  <si>
    <t>ПАО "Биосинтез"</t>
  </si>
  <si>
    <t>5834001025</t>
  </si>
  <si>
    <t>28076049</t>
  </si>
  <si>
    <t>МУП "Центр развития предпринимательства Бековского района"</t>
  </si>
  <si>
    <t>5808003805</t>
  </si>
  <si>
    <t>31231863</t>
  </si>
  <si>
    <t>ООО "Вторма +"</t>
  </si>
  <si>
    <t>5805012368</t>
  </si>
  <si>
    <t>27568421</t>
  </si>
  <si>
    <t>ООО "Земетчинодорсервис"</t>
  </si>
  <si>
    <t>5813003991</t>
  </si>
  <si>
    <t>31491972</t>
  </si>
  <si>
    <t>ООО "Маг Груп Пенза"</t>
  </si>
  <si>
    <t>5837069889</t>
  </si>
  <si>
    <t>31614855</t>
  </si>
  <si>
    <t>ООО "Мехуборка-Пенза"</t>
  </si>
  <si>
    <t>5836689914</t>
  </si>
  <si>
    <t>01-09-2022 00:00:00</t>
  </si>
  <si>
    <t>31311904</t>
  </si>
  <si>
    <t>ООО "Полигон ТКО "Симанки"</t>
  </si>
  <si>
    <t>5814003458</t>
  </si>
  <si>
    <t>31230643</t>
  </si>
  <si>
    <t>ООО "УБО"</t>
  </si>
  <si>
    <t>5837044683</t>
  </si>
  <si>
    <t>08-10-2010 00:00:00</t>
  </si>
  <si>
    <t>31695420</t>
  </si>
  <si>
    <t>ООО "Чистый город"</t>
  </si>
  <si>
    <t>5837038471</t>
  </si>
  <si>
    <t>31695439</t>
  </si>
  <si>
    <t>ООО "ЭКОГРАД"</t>
  </si>
  <si>
    <t>5260317506</t>
  </si>
  <si>
    <t>26430114</t>
  </si>
  <si>
    <t>ООО "Экосервис"</t>
  </si>
  <si>
    <t>5803014289</t>
  </si>
  <si>
    <t>31444894</t>
  </si>
  <si>
    <t>ООО «Каменское ЖКХ»</t>
  </si>
  <si>
    <t>5802005838</t>
  </si>
  <si>
    <t>31467920</t>
  </si>
  <si>
    <t>ООО ГК «Пензавторсырье»</t>
  </si>
  <si>
    <t>5834061056</t>
  </si>
  <si>
    <t>31174967</t>
  </si>
  <si>
    <t>ООО"ЭКОПРОМ"</t>
  </si>
  <si>
    <t>5263049020</t>
  </si>
  <si>
    <t>526301001</t>
  </si>
  <si>
    <t>31262524</t>
  </si>
  <si>
    <t>Филиал ООО «Экопром»</t>
  </si>
  <si>
    <t>580343001</t>
  </si>
  <si>
    <t>NSRF</t>
  </si>
  <si>
    <t>MR_NAME</t>
  </si>
  <si>
    <t>OKTMO_MR_NAME</t>
  </si>
  <si>
    <t>MO_NAME</t>
  </si>
  <si>
    <t>OKTMO_NAME</t>
  </si>
  <si>
    <t>TYPE</t>
  </si>
  <si>
    <t>MR_ID</t>
  </si>
  <si>
    <t>Башмаковский муниципальный район</t>
  </si>
  <si>
    <t>56603000</t>
  </si>
  <si>
    <t>Алексеевское</t>
  </si>
  <si>
    <t>56603402</t>
  </si>
  <si>
    <t>сельское поселение</t>
  </si>
  <si>
    <t>муниципальный район</t>
  </si>
  <si>
    <t>Бояровское</t>
  </si>
  <si>
    <t>56603404</t>
  </si>
  <si>
    <t>Высокинское</t>
  </si>
  <si>
    <t>56603407</t>
  </si>
  <si>
    <t>Знаменское</t>
  </si>
  <si>
    <t>56603410</t>
  </si>
  <si>
    <t>Кандиевское</t>
  </si>
  <si>
    <t>56603413</t>
  </si>
  <si>
    <t>Липовское</t>
  </si>
  <si>
    <t>56603416</t>
  </si>
  <si>
    <t>Подгорнское</t>
  </si>
  <si>
    <t>56603419</t>
  </si>
  <si>
    <t>Поселок Башмаково</t>
  </si>
  <si>
    <t>56603151</t>
  </si>
  <si>
    <t>городское поселение, в состав которого входит поселок</t>
  </si>
  <si>
    <t>Починковское</t>
  </si>
  <si>
    <t>56603422</t>
  </si>
  <si>
    <t>Соломинское</t>
  </si>
  <si>
    <t>56603424</t>
  </si>
  <si>
    <t>Соседское</t>
  </si>
  <si>
    <t>56603425</t>
  </si>
  <si>
    <t>Сосновское</t>
  </si>
  <si>
    <t>56603428</t>
  </si>
  <si>
    <t>Троицкое</t>
  </si>
  <si>
    <t>56603434</t>
  </si>
  <si>
    <t>Шереметьевское</t>
  </si>
  <si>
    <t>56603437</t>
  </si>
  <si>
    <t>Бековский муниципальный район</t>
  </si>
  <si>
    <t>56609000</t>
  </si>
  <si>
    <t>Вертуновское</t>
  </si>
  <si>
    <t>56609402</t>
  </si>
  <si>
    <t>Волынщинское</t>
  </si>
  <si>
    <t>56609404</t>
  </si>
  <si>
    <t>Ивановское</t>
  </si>
  <si>
    <t>56609407</t>
  </si>
  <si>
    <t>Миткирейское</t>
  </si>
  <si>
    <t>56609413</t>
  </si>
  <si>
    <t>Мошковское</t>
  </si>
  <si>
    <t>56609416</t>
  </si>
  <si>
    <t>Поселок Беково</t>
  </si>
  <si>
    <t>56609151</t>
  </si>
  <si>
    <t>Пяшинское</t>
  </si>
  <si>
    <t>56609422</t>
  </si>
  <si>
    <t>56609425</t>
  </si>
  <si>
    <t>Яковлевское</t>
  </si>
  <si>
    <t>56609440</t>
  </si>
  <si>
    <t>Белинский муниципальный район</t>
  </si>
  <si>
    <t>56612000</t>
  </si>
  <si>
    <t>Балкашинское</t>
  </si>
  <si>
    <t>56612403</t>
  </si>
  <si>
    <t>Волчковское</t>
  </si>
  <si>
    <t>56612406</t>
  </si>
  <si>
    <t>Город Белинский</t>
  </si>
  <si>
    <t>56612101</t>
  </si>
  <si>
    <t>городское поселение, в состав которого входит город</t>
  </si>
  <si>
    <t>Камынинское</t>
  </si>
  <si>
    <t>56612408</t>
  </si>
  <si>
    <t>Козловское</t>
  </si>
  <si>
    <t>56612412</t>
  </si>
  <si>
    <t>Кутеевское</t>
  </si>
  <si>
    <t>56612416</t>
  </si>
  <si>
    <t>Лермонтовское</t>
  </si>
  <si>
    <t>56612419</t>
  </si>
  <si>
    <t>Невежкинское</t>
  </si>
  <si>
    <t>56612422</t>
  </si>
  <si>
    <t>Поимское</t>
  </si>
  <si>
    <t>56612425</t>
  </si>
  <si>
    <t>Пушанинское</t>
  </si>
  <si>
    <t>56612428</t>
  </si>
  <si>
    <t>Студенское</t>
  </si>
  <si>
    <t>56612434</t>
  </si>
  <si>
    <t>Бессоновский муниципальный район</t>
  </si>
  <si>
    <t>56613000</t>
  </si>
  <si>
    <t>Александровское</t>
  </si>
  <si>
    <t>56613402</t>
  </si>
  <si>
    <t>Бессоновское</t>
  </si>
  <si>
    <t>56613404</t>
  </si>
  <si>
    <t>Вазерское</t>
  </si>
  <si>
    <t>56613406</t>
  </si>
  <si>
    <t>Грабовское</t>
  </si>
  <si>
    <t>56613408</t>
  </si>
  <si>
    <t>Кижеватовское</t>
  </si>
  <si>
    <t>56613413</t>
  </si>
  <si>
    <t>Полеологовское</t>
  </si>
  <si>
    <t>56613420</t>
  </si>
  <si>
    <t>Проказнинское</t>
  </si>
  <si>
    <t>56613422</t>
  </si>
  <si>
    <t>56613425</t>
  </si>
  <si>
    <t>Степановское</t>
  </si>
  <si>
    <t>56613427</t>
  </si>
  <si>
    <t>Чемодановское</t>
  </si>
  <si>
    <t>56613430</t>
  </si>
  <si>
    <t>Вадинский муниципальный район</t>
  </si>
  <si>
    <t>56615000</t>
  </si>
  <si>
    <t>Большелукинское</t>
  </si>
  <si>
    <t>56615402</t>
  </si>
  <si>
    <t>Вадинское</t>
  </si>
  <si>
    <t>56615404</t>
  </si>
  <si>
    <t>Каргалейское</t>
  </si>
  <si>
    <t>56615410</t>
  </si>
  <si>
    <t>Рахмановское</t>
  </si>
  <si>
    <t>56615422</t>
  </si>
  <si>
    <t>Серго-Поливановское</t>
  </si>
  <si>
    <t>56615428</t>
  </si>
  <si>
    <t>Татаро-Лакинское</t>
  </si>
  <si>
    <t>56615431</t>
  </si>
  <si>
    <t>Ягановское</t>
  </si>
  <si>
    <t>56615434</t>
  </si>
  <si>
    <t>Городищенский муниципальный район</t>
  </si>
  <si>
    <t>56618000</t>
  </si>
  <si>
    <t>Архангельское</t>
  </si>
  <si>
    <t>56618402</t>
  </si>
  <si>
    <t>Верхнеелюзанское</t>
  </si>
  <si>
    <t>56618403</t>
  </si>
  <si>
    <t>Верхнешкафтинское</t>
  </si>
  <si>
    <t>56618404</t>
  </si>
  <si>
    <t>Город Городище</t>
  </si>
  <si>
    <t>56618101</t>
  </si>
  <si>
    <t>60</t>
  </si>
  <si>
    <t>Город Сурск</t>
  </si>
  <si>
    <t>56618108</t>
  </si>
  <si>
    <t>61</t>
  </si>
  <si>
    <t>62</t>
  </si>
  <si>
    <t>Дигилевское</t>
  </si>
  <si>
    <t>56618410</t>
  </si>
  <si>
    <t>63</t>
  </si>
  <si>
    <t>Канаевское</t>
  </si>
  <si>
    <t>56618413</t>
  </si>
  <si>
    <t>64</t>
  </si>
  <si>
    <t>Нижнеелюзанское</t>
  </si>
  <si>
    <t>56618423</t>
  </si>
  <si>
    <t>65</t>
  </si>
  <si>
    <t>Павло-Куракинское</t>
  </si>
  <si>
    <t>56618428</t>
  </si>
  <si>
    <t>Поселок Чаадаевка</t>
  </si>
  <si>
    <t>56618155</t>
  </si>
  <si>
    <t>67</t>
  </si>
  <si>
    <t>Русско-Ишимское</t>
  </si>
  <si>
    <t>56618431</t>
  </si>
  <si>
    <t>Среднеелюзанское</t>
  </si>
  <si>
    <t>56618434</t>
  </si>
  <si>
    <t>69</t>
  </si>
  <si>
    <t>Турдакское</t>
  </si>
  <si>
    <t>56618440</t>
  </si>
  <si>
    <t>70</t>
  </si>
  <si>
    <t>Чаадаевское</t>
  </si>
  <si>
    <t>56618443</t>
  </si>
  <si>
    <t>71</t>
  </si>
  <si>
    <t>Юловское</t>
  </si>
  <si>
    <t>56618446</t>
  </si>
  <si>
    <t>72</t>
  </si>
  <si>
    <t>ЗАТО город Заречный</t>
  </si>
  <si>
    <t>56734000</t>
  </si>
  <si>
    <t>городской округ</t>
  </si>
  <si>
    <t>73</t>
  </si>
  <si>
    <t>Земетчинский муниципальный район</t>
  </si>
  <si>
    <t>56623000</t>
  </si>
  <si>
    <t>Большеижморское</t>
  </si>
  <si>
    <t>56623402</t>
  </si>
  <si>
    <t>74</t>
  </si>
  <si>
    <t>75</t>
  </si>
  <si>
    <t>Кирилловское</t>
  </si>
  <si>
    <t>56623410</t>
  </si>
  <si>
    <t>76</t>
  </si>
  <si>
    <t>Краснодубравское</t>
  </si>
  <si>
    <t>56623411</t>
  </si>
  <si>
    <t>77</t>
  </si>
  <si>
    <t>Матчерское</t>
  </si>
  <si>
    <t>56623413</t>
  </si>
  <si>
    <t>78</t>
  </si>
  <si>
    <t>Морсовское</t>
  </si>
  <si>
    <t>56623416</t>
  </si>
  <si>
    <t>79</t>
  </si>
  <si>
    <t>Поселок Земетчино</t>
  </si>
  <si>
    <t>56623151</t>
  </si>
  <si>
    <t>80</t>
  </si>
  <si>
    <t>Пролетарское</t>
  </si>
  <si>
    <t>56623407</t>
  </si>
  <si>
    <t>81</t>
  </si>
  <si>
    <t>Раевское</t>
  </si>
  <si>
    <t>56623422</t>
  </si>
  <si>
    <t>82</t>
  </si>
  <si>
    <t>Салтыковское</t>
  </si>
  <si>
    <t>56623428</t>
  </si>
  <si>
    <t>83</t>
  </si>
  <si>
    <t>Ушинское</t>
  </si>
  <si>
    <t>56623434</t>
  </si>
  <si>
    <t>84</t>
  </si>
  <si>
    <t>Юрсовское</t>
  </si>
  <si>
    <t>56623440</t>
  </si>
  <si>
    <t>85</t>
  </si>
  <si>
    <t>Иссинский муниципальный район</t>
  </si>
  <si>
    <t>56626000</t>
  </si>
  <si>
    <t>Булычевское</t>
  </si>
  <si>
    <t>56626402</t>
  </si>
  <si>
    <t>86</t>
  </si>
  <si>
    <t>Знаменско-Пестровское</t>
  </si>
  <si>
    <t>56626407</t>
  </si>
  <si>
    <t>87</t>
  </si>
  <si>
    <t>88</t>
  </si>
  <si>
    <t>Каменно-Бродское</t>
  </si>
  <si>
    <t>56626413</t>
  </si>
  <si>
    <t>89</t>
  </si>
  <si>
    <t>Поселок Исса</t>
  </si>
  <si>
    <t>56626151</t>
  </si>
  <si>
    <t>90</t>
  </si>
  <si>
    <t>Соловцовское</t>
  </si>
  <si>
    <t>56626419</t>
  </si>
  <si>
    <t>91</t>
  </si>
  <si>
    <t>Уваровское</t>
  </si>
  <si>
    <t>56626422</t>
  </si>
  <si>
    <t>92</t>
  </si>
  <si>
    <t>Каменский муниципальный район</t>
  </si>
  <si>
    <t>56629000</t>
  </si>
  <si>
    <t>Анучинское</t>
  </si>
  <si>
    <t>56629404</t>
  </si>
  <si>
    <t>93</t>
  </si>
  <si>
    <t>Владыкинское</t>
  </si>
  <si>
    <t>56629410</t>
  </si>
  <si>
    <t>94</t>
  </si>
  <si>
    <t>Головинщинское</t>
  </si>
  <si>
    <t>56629413</t>
  </si>
  <si>
    <t>95</t>
  </si>
  <si>
    <t>Город Каменка</t>
  </si>
  <si>
    <t>56629101</t>
  </si>
  <si>
    <t>96</t>
  </si>
  <si>
    <t>97</t>
  </si>
  <si>
    <t>Каменское</t>
  </si>
  <si>
    <t>56629425</t>
  </si>
  <si>
    <t>98</t>
  </si>
  <si>
    <t>Кевдо-Мельситовское</t>
  </si>
  <si>
    <t>56629428</t>
  </si>
  <si>
    <t>99</t>
  </si>
  <si>
    <t>Кикинское</t>
  </si>
  <si>
    <t>56629429</t>
  </si>
  <si>
    <t>100</t>
  </si>
  <si>
    <t>Кобылкинское</t>
  </si>
  <si>
    <t>56629431</t>
  </si>
  <si>
    <t>101</t>
  </si>
  <si>
    <t>Междуреченское</t>
  </si>
  <si>
    <t>56629434</t>
  </si>
  <si>
    <t>102</t>
  </si>
  <si>
    <t>Первомайское</t>
  </si>
  <si>
    <t>56629439</t>
  </si>
  <si>
    <t>103</t>
  </si>
  <si>
    <t>Покрово-Арчадинское</t>
  </si>
  <si>
    <t>56629440</t>
  </si>
  <si>
    <t>104</t>
  </si>
  <si>
    <t>Федоровское</t>
  </si>
  <si>
    <t>56629443</t>
  </si>
  <si>
    <t>105</t>
  </si>
  <si>
    <t>Камешкирский муниципальный район</t>
  </si>
  <si>
    <t>56631000</t>
  </si>
  <si>
    <t>Большеумысское</t>
  </si>
  <si>
    <t>56631404</t>
  </si>
  <si>
    <t>106</t>
  </si>
  <si>
    <t>107</t>
  </si>
  <si>
    <t>Лапшовское</t>
  </si>
  <si>
    <t>56631410</t>
  </si>
  <si>
    <t>108</t>
  </si>
  <si>
    <t>Новошаткинское</t>
  </si>
  <si>
    <t>56631416</t>
  </si>
  <si>
    <t>109</t>
  </si>
  <si>
    <t>Пестровское</t>
  </si>
  <si>
    <t>56631419</t>
  </si>
  <si>
    <t>110</t>
  </si>
  <si>
    <t>Русско-Камешкирское</t>
  </si>
  <si>
    <t>56631425</t>
  </si>
  <si>
    <t>111</t>
  </si>
  <si>
    <t>Чумаевское</t>
  </si>
  <si>
    <t>56631431</t>
  </si>
  <si>
    <t>112</t>
  </si>
  <si>
    <t>Колышлейский муниципальный район</t>
  </si>
  <si>
    <t>56633000</t>
  </si>
  <si>
    <t>Березовское</t>
  </si>
  <si>
    <t>56633402</t>
  </si>
  <si>
    <t>113</t>
  </si>
  <si>
    <t>114</t>
  </si>
  <si>
    <t>Лачиновское</t>
  </si>
  <si>
    <t>56633413</t>
  </si>
  <si>
    <t>115</t>
  </si>
  <si>
    <t>Названовское</t>
  </si>
  <si>
    <t>56633415</t>
  </si>
  <si>
    <t>116</t>
  </si>
  <si>
    <t>Плещеевское</t>
  </si>
  <si>
    <t>56633404</t>
  </si>
  <si>
    <t>117</t>
  </si>
  <si>
    <t>Пограничное</t>
  </si>
  <si>
    <t>56633422</t>
  </si>
  <si>
    <t>118</t>
  </si>
  <si>
    <t>Поселок Колышлей</t>
  </si>
  <si>
    <t>56633151</t>
  </si>
  <si>
    <t>119</t>
  </si>
  <si>
    <t>Потловское</t>
  </si>
  <si>
    <t>56633419</t>
  </si>
  <si>
    <t>120</t>
  </si>
  <si>
    <t>Телегинское</t>
  </si>
  <si>
    <t>56633428</t>
  </si>
  <si>
    <t>121</t>
  </si>
  <si>
    <t>Трескинское</t>
  </si>
  <si>
    <t>56633431</t>
  </si>
  <si>
    <t>122</t>
  </si>
  <si>
    <t>Кузнецкий муниципальный район</t>
  </si>
  <si>
    <t>56640000</t>
  </si>
  <si>
    <t>Анненковское</t>
  </si>
  <si>
    <t>56640402</t>
  </si>
  <si>
    <t>123</t>
  </si>
  <si>
    <t>Большетруевское</t>
  </si>
  <si>
    <t>56640404</t>
  </si>
  <si>
    <t>124</t>
  </si>
  <si>
    <t>Комаровское</t>
  </si>
  <si>
    <t>56640407</t>
  </si>
  <si>
    <t>125</t>
  </si>
  <si>
    <t>126</t>
  </si>
  <si>
    <t>Махалинское</t>
  </si>
  <si>
    <t>56640410</t>
  </si>
  <si>
    <t>127</t>
  </si>
  <si>
    <t>Никольское</t>
  </si>
  <si>
    <t>56640413</t>
  </si>
  <si>
    <t>128</t>
  </si>
  <si>
    <t>Посельское</t>
  </si>
  <si>
    <t>56640416</t>
  </si>
  <si>
    <t>129</t>
  </si>
  <si>
    <t>Сюзюмское</t>
  </si>
  <si>
    <t>56640422</t>
  </si>
  <si>
    <t>130</t>
  </si>
  <si>
    <t>Тарлаковское</t>
  </si>
  <si>
    <t>56640425</t>
  </si>
  <si>
    <t>131</t>
  </si>
  <si>
    <t>Чибирлейское</t>
  </si>
  <si>
    <t>56640429</t>
  </si>
  <si>
    <t>132</t>
  </si>
  <si>
    <t>Явлейское</t>
  </si>
  <si>
    <t>56640430</t>
  </si>
  <si>
    <t>133</t>
  </si>
  <si>
    <t>Яснополянское</t>
  </si>
  <si>
    <t>56640431</t>
  </si>
  <si>
    <t>134</t>
  </si>
  <si>
    <t>поселок Верхозим</t>
  </si>
  <si>
    <t>56640154</t>
  </si>
  <si>
    <t>135</t>
  </si>
  <si>
    <t>поселок Евлашево</t>
  </si>
  <si>
    <t>56640158</t>
  </si>
  <si>
    <t>136</t>
  </si>
  <si>
    <t>Лопатинский муниципальный район</t>
  </si>
  <si>
    <t>56642000</t>
  </si>
  <si>
    <t>Верешимское</t>
  </si>
  <si>
    <t>56642407</t>
  </si>
  <si>
    <t>137</t>
  </si>
  <si>
    <t>Даниловское</t>
  </si>
  <si>
    <t>56642410</t>
  </si>
  <si>
    <t>138</t>
  </si>
  <si>
    <t>Китунькинское</t>
  </si>
  <si>
    <t>56642413</t>
  </si>
  <si>
    <t>139</t>
  </si>
  <si>
    <t>56642416</t>
  </si>
  <si>
    <t>140</t>
  </si>
  <si>
    <t>Комсомольское</t>
  </si>
  <si>
    <t>56642419</t>
  </si>
  <si>
    <t>141</t>
  </si>
  <si>
    <t>142</t>
  </si>
  <si>
    <t>Лопатинское</t>
  </si>
  <si>
    <t>56642422</t>
  </si>
  <si>
    <t>143</t>
  </si>
  <si>
    <t>Пылковское</t>
  </si>
  <si>
    <t>56642425</t>
  </si>
  <si>
    <t>144</t>
  </si>
  <si>
    <t>Старовершаутское</t>
  </si>
  <si>
    <t>56642428</t>
  </si>
  <si>
    <t>145</t>
  </si>
  <si>
    <t>Старокарлыганское</t>
  </si>
  <si>
    <t>56642429</t>
  </si>
  <si>
    <t>146</t>
  </si>
  <si>
    <t>Суляевское</t>
  </si>
  <si>
    <t>56642431</t>
  </si>
  <si>
    <t>147</t>
  </si>
  <si>
    <t>Чардымское</t>
  </si>
  <si>
    <t>56642434</t>
  </si>
  <si>
    <t>148</t>
  </si>
  <si>
    <t>Лунинский муниципальный район</t>
  </si>
  <si>
    <t>56643000</t>
  </si>
  <si>
    <t>Болотниковское</t>
  </si>
  <si>
    <t>56643404</t>
  </si>
  <si>
    <t>149</t>
  </si>
  <si>
    <t>Большевьясское</t>
  </si>
  <si>
    <t>56643407</t>
  </si>
  <si>
    <t>150</t>
  </si>
  <si>
    <t>Засурское</t>
  </si>
  <si>
    <t>56643413</t>
  </si>
  <si>
    <t>151</t>
  </si>
  <si>
    <t>Иванырсинское</t>
  </si>
  <si>
    <t>56643416</t>
  </si>
  <si>
    <t>152</t>
  </si>
  <si>
    <t>Ломовское</t>
  </si>
  <si>
    <t>56643422</t>
  </si>
  <si>
    <t>153</t>
  </si>
  <si>
    <t>154</t>
  </si>
  <si>
    <t>Лунинское</t>
  </si>
  <si>
    <t>56643425</t>
  </si>
  <si>
    <t>155</t>
  </si>
  <si>
    <t>Поселок Лунино</t>
  </si>
  <si>
    <t>56643151</t>
  </si>
  <si>
    <t>156</t>
  </si>
  <si>
    <t>Родниковское</t>
  </si>
  <si>
    <t>56643434</t>
  </si>
  <si>
    <t>157</t>
  </si>
  <si>
    <t>56643437</t>
  </si>
  <si>
    <t>158</t>
  </si>
  <si>
    <t>Сытинское</t>
  </si>
  <si>
    <t>56643440</t>
  </si>
  <si>
    <t>159</t>
  </si>
  <si>
    <t>Малосердобинский муниципальный район</t>
  </si>
  <si>
    <t>56644000</t>
  </si>
  <si>
    <t>Дружаевское</t>
  </si>
  <si>
    <t>56644402</t>
  </si>
  <si>
    <t>160</t>
  </si>
  <si>
    <t>Ключевское</t>
  </si>
  <si>
    <t>56644404</t>
  </si>
  <si>
    <t>161</t>
  </si>
  <si>
    <t>56644406</t>
  </si>
  <si>
    <t>162</t>
  </si>
  <si>
    <t>Майское</t>
  </si>
  <si>
    <t>56644408</t>
  </si>
  <si>
    <t>163</t>
  </si>
  <si>
    <t>164</t>
  </si>
  <si>
    <t>Малосердобинское</t>
  </si>
  <si>
    <t>56644410</t>
  </si>
  <si>
    <t>165</t>
  </si>
  <si>
    <t>Старославскинское</t>
  </si>
  <si>
    <t>56644416</t>
  </si>
  <si>
    <t>166</t>
  </si>
  <si>
    <t>Мокшанский муниципальный район</t>
  </si>
  <si>
    <t>56645000</t>
  </si>
  <si>
    <t>Богородское</t>
  </si>
  <si>
    <t>56645402</t>
  </si>
  <si>
    <t>167</t>
  </si>
  <si>
    <t>Елизаветинское</t>
  </si>
  <si>
    <t>56645405</t>
  </si>
  <si>
    <t>168</t>
  </si>
  <si>
    <t>Засечное</t>
  </si>
  <si>
    <t>56645404</t>
  </si>
  <si>
    <t>169</t>
  </si>
  <si>
    <t>170</t>
  </si>
  <si>
    <t>Плесское</t>
  </si>
  <si>
    <t>56645410</t>
  </si>
  <si>
    <t>171</t>
  </si>
  <si>
    <t>Подгорненское</t>
  </si>
  <si>
    <t>56645412</t>
  </si>
  <si>
    <t>172</t>
  </si>
  <si>
    <t>Поселок Мокшан</t>
  </si>
  <si>
    <t>56645151</t>
  </si>
  <si>
    <t>173</t>
  </si>
  <si>
    <t>Рамзайское</t>
  </si>
  <si>
    <t>56645416</t>
  </si>
  <si>
    <t>174</t>
  </si>
  <si>
    <t>Успенское</t>
  </si>
  <si>
    <t>56645419</t>
  </si>
  <si>
    <t>175</t>
  </si>
  <si>
    <t>Царевщинское</t>
  </si>
  <si>
    <t>56645422</t>
  </si>
  <si>
    <t>176</t>
  </si>
  <si>
    <t>Чернозерское</t>
  </si>
  <si>
    <t>56645425</t>
  </si>
  <si>
    <t>177</t>
  </si>
  <si>
    <t>Широкоисское</t>
  </si>
  <si>
    <t>56645427</t>
  </si>
  <si>
    <t>178</t>
  </si>
  <si>
    <t>Юровское</t>
  </si>
  <si>
    <t>56645431</t>
  </si>
  <si>
    <t>179</t>
  </si>
  <si>
    <t>нечаевское</t>
  </si>
  <si>
    <t>56645407</t>
  </si>
  <si>
    <t>180</t>
  </si>
  <si>
    <t>Наровчатский муниципальный район</t>
  </si>
  <si>
    <t>56647000</t>
  </si>
  <si>
    <t>Азарапинское</t>
  </si>
  <si>
    <t>56647401</t>
  </si>
  <si>
    <t>181</t>
  </si>
  <si>
    <t>Большекавендровское</t>
  </si>
  <si>
    <t>56647403</t>
  </si>
  <si>
    <t>182</t>
  </si>
  <si>
    <t>Большекирдяшевское</t>
  </si>
  <si>
    <t>56647404</t>
  </si>
  <si>
    <t>183</t>
  </si>
  <si>
    <t>Большеколоярское</t>
  </si>
  <si>
    <t>56647407</t>
  </si>
  <si>
    <t>184</t>
  </si>
  <si>
    <t>Виляйское</t>
  </si>
  <si>
    <t>56647410</t>
  </si>
  <si>
    <t>185</t>
  </si>
  <si>
    <t>Вьюнское</t>
  </si>
  <si>
    <t>56647413</t>
  </si>
  <si>
    <t>186</t>
  </si>
  <si>
    <t>187</t>
  </si>
  <si>
    <t>Наровчатское</t>
  </si>
  <si>
    <t>56647416</t>
  </si>
  <si>
    <t>188</t>
  </si>
  <si>
    <t>Новопичуринское</t>
  </si>
  <si>
    <t>56647417</t>
  </si>
  <si>
    <t>189</t>
  </si>
  <si>
    <t>Орловское</t>
  </si>
  <si>
    <t>56647419</t>
  </si>
  <si>
    <t>190</t>
  </si>
  <si>
    <t>Плесковское</t>
  </si>
  <si>
    <t>56647422</t>
  </si>
  <si>
    <t>191</t>
  </si>
  <si>
    <t>Потодеевское</t>
  </si>
  <si>
    <t>56647425</t>
  </si>
  <si>
    <t>192</t>
  </si>
  <si>
    <t>Скановское</t>
  </si>
  <si>
    <t>56647402</t>
  </si>
  <si>
    <t>193</t>
  </si>
  <si>
    <t>Суркинское</t>
  </si>
  <si>
    <t>56647428</t>
  </si>
  <si>
    <t>194</t>
  </si>
  <si>
    <t>Неверкинский муниципальный район</t>
  </si>
  <si>
    <t>56649000</t>
  </si>
  <si>
    <t>Алеевское</t>
  </si>
  <si>
    <t>56649402</t>
  </si>
  <si>
    <t>195</t>
  </si>
  <si>
    <t>56649403</t>
  </si>
  <si>
    <t>196</t>
  </si>
  <si>
    <t>Бигеевское</t>
  </si>
  <si>
    <t>56649404</t>
  </si>
  <si>
    <t>197</t>
  </si>
  <si>
    <t>Бикмосеевское</t>
  </si>
  <si>
    <t>56649406</t>
  </si>
  <si>
    <t>198</t>
  </si>
  <si>
    <t>Бикмурзинское</t>
  </si>
  <si>
    <t>56649407</t>
  </si>
  <si>
    <t>199</t>
  </si>
  <si>
    <t>Деминское</t>
  </si>
  <si>
    <t>56649410</t>
  </si>
  <si>
    <t>200</t>
  </si>
  <si>
    <t>Илим-Горское</t>
  </si>
  <si>
    <t>56649411</t>
  </si>
  <si>
    <t>201</t>
  </si>
  <si>
    <t>Исикеевское</t>
  </si>
  <si>
    <t>56649412</t>
  </si>
  <si>
    <t>202</t>
  </si>
  <si>
    <t>Каменноовражское</t>
  </si>
  <si>
    <t>56649415</t>
  </si>
  <si>
    <t>203</t>
  </si>
  <si>
    <t>Карноварское</t>
  </si>
  <si>
    <t>56649416</t>
  </si>
  <si>
    <t>204</t>
  </si>
  <si>
    <t>205</t>
  </si>
  <si>
    <t>Неверкинское</t>
  </si>
  <si>
    <t>56649419</t>
  </si>
  <si>
    <t>206</t>
  </si>
  <si>
    <t>Октябрьское</t>
  </si>
  <si>
    <t>56649422</t>
  </si>
  <si>
    <t>207</t>
  </si>
  <si>
    <t>Планское</t>
  </si>
  <si>
    <t>56649425</t>
  </si>
  <si>
    <t>208</t>
  </si>
  <si>
    <t>Староандреевское</t>
  </si>
  <si>
    <t>56649428</t>
  </si>
  <si>
    <t>209</t>
  </si>
  <si>
    <t>Сулеймановское</t>
  </si>
  <si>
    <t>56649413</t>
  </si>
  <si>
    <t>210</t>
  </si>
  <si>
    <t>Нижнеломовский муниципальный район</t>
  </si>
  <si>
    <t>56651000</t>
  </si>
  <si>
    <t>Атмисское</t>
  </si>
  <si>
    <t>56651404</t>
  </si>
  <si>
    <t>211</t>
  </si>
  <si>
    <t>Большехуторское</t>
  </si>
  <si>
    <t>56651407</t>
  </si>
  <si>
    <t>212</t>
  </si>
  <si>
    <t>Верхнеломовское</t>
  </si>
  <si>
    <t>56651410</t>
  </si>
  <si>
    <t>213</t>
  </si>
  <si>
    <t>Виргинское</t>
  </si>
  <si>
    <t>56651411</t>
  </si>
  <si>
    <t>214</t>
  </si>
  <si>
    <t>Голицынское</t>
  </si>
  <si>
    <t>56651413</t>
  </si>
  <si>
    <t>215</t>
  </si>
  <si>
    <t>Город Нижний Ломов</t>
  </si>
  <si>
    <t>56651101</t>
  </si>
  <si>
    <t>216</t>
  </si>
  <si>
    <t>Кривошеевское</t>
  </si>
  <si>
    <t>56651422</t>
  </si>
  <si>
    <t>217</t>
  </si>
  <si>
    <t>Кувак-Никольское</t>
  </si>
  <si>
    <t>56651419</t>
  </si>
  <si>
    <t>218</t>
  </si>
  <si>
    <t>219</t>
  </si>
  <si>
    <t>Новопятинское</t>
  </si>
  <si>
    <t>56651425</t>
  </si>
  <si>
    <t>220</t>
  </si>
  <si>
    <t>Норовское</t>
  </si>
  <si>
    <t>56651431</t>
  </si>
  <si>
    <t>221</t>
  </si>
  <si>
    <t>Усть-Каремшинское</t>
  </si>
  <si>
    <t>56651437</t>
  </si>
  <si>
    <t>222</t>
  </si>
  <si>
    <t>Никольский муниципальный район</t>
  </si>
  <si>
    <t>56653000</t>
  </si>
  <si>
    <t>Ахматовское</t>
  </si>
  <si>
    <t>56653404</t>
  </si>
  <si>
    <t>223</t>
  </si>
  <si>
    <t>Базарно-Кеньшенское</t>
  </si>
  <si>
    <t>56653407</t>
  </si>
  <si>
    <t>224</t>
  </si>
  <si>
    <t>Город Никольск</t>
  </si>
  <si>
    <t>56653101</t>
  </si>
  <si>
    <t>225</t>
  </si>
  <si>
    <t>Ильминское</t>
  </si>
  <si>
    <t>56653413</t>
  </si>
  <si>
    <t>226</t>
  </si>
  <si>
    <t>Казарское</t>
  </si>
  <si>
    <t>56653416</t>
  </si>
  <si>
    <t>227</t>
  </si>
  <si>
    <t>Карамальское</t>
  </si>
  <si>
    <t>56653419</t>
  </si>
  <si>
    <t>228</t>
  </si>
  <si>
    <t>Керенское</t>
  </si>
  <si>
    <t>56653422</t>
  </si>
  <si>
    <t>229</t>
  </si>
  <si>
    <t>Маисское</t>
  </si>
  <si>
    <t>56653425</t>
  </si>
  <si>
    <t>230</t>
  </si>
  <si>
    <t>Нижнешкафтинское</t>
  </si>
  <si>
    <t>56653428</t>
  </si>
  <si>
    <t>231</t>
  </si>
  <si>
    <t>232</t>
  </si>
  <si>
    <t>Ночкинское</t>
  </si>
  <si>
    <t>56653431</t>
  </si>
  <si>
    <t>233</t>
  </si>
  <si>
    <t>Усовское</t>
  </si>
  <si>
    <t>56653446</t>
  </si>
  <si>
    <t>234</t>
  </si>
  <si>
    <t>поселок Сура</t>
  </si>
  <si>
    <t>56653155</t>
  </si>
  <si>
    <t>235</t>
  </si>
  <si>
    <t>Пачелмский муниципальный район</t>
  </si>
  <si>
    <t>56654000</t>
  </si>
  <si>
    <t>Белынское</t>
  </si>
  <si>
    <t>56654402</t>
  </si>
  <si>
    <t>236</t>
  </si>
  <si>
    <t>Новотолковское</t>
  </si>
  <si>
    <t>56654410</t>
  </si>
  <si>
    <t>237</t>
  </si>
  <si>
    <t>238</t>
  </si>
  <si>
    <t>Поселок Пачелма</t>
  </si>
  <si>
    <t>56654151</t>
  </si>
  <si>
    <t>239</t>
  </si>
  <si>
    <t>Решетинское</t>
  </si>
  <si>
    <t>56654412</t>
  </si>
  <si>
    <t>240</t>
  </si>
  <si>
    <t>Титовское</t>
  </si>
  <si>
    <t>56654414</t>
  </si>
  <si>
    <t>241</t>
  </si>
  <si>
    <t>Черкасское</t>
  </si>
  <si>
    <t>56654416</t>
  </si>
  <si>
    <t>242</t>
  </si>
  <si>
    <t>Чкаловское</t>
  </si>
  <si>
    <t>56654419</t>
  </si>
  <si>
    <t>243</t>
  </si>
  <si>
    <t>Шейнское</t>
  </si>
  <si>
    <t>56654422</t>
  </si>
  <si>
    <t>244</t>
  </si>
  <si>
    <t>Пензенский муниципальный район</t>
  </si>
  <si>
    <t>56655000</t>
  </si>
  <si>
    <t>Алферьевское</t>
  </si>
  <si>
    <t>56655402</t>
  </si>
  <si>
    <t>245</t>
  </si>
  <si>
    <t>Богословское</t>
  </si>
  <si>
    <t>56655407</t>
  </si>
  <si>
    <t>246</t>
  </si>
  <si>
    <t>Большееланское</t>
  </si>
  <si>
    <t>56655410</t>
  </si>
  <si>
    <t>247</t>
  </si>
  <si>
    <t>Варыпаевское</t>
  </si>
  <si>
    <t>56655411</t>
  </si>
  <si>
    <t>248</t>
  </si>
  <si>
    <t>Воскресеновское</t>
  </si>
  <si>
    <t>56655419</t>
  </si>
  <si>
    <t>249</t>
  </si>
  <si>
    <t>Ермоловское</t>
  </si>
  <si>
    <t>56655427</t>
  </si>
  <si>
    <t>250</t>
  </si>
  <si>
    <t>56655429</t>
  </si>
  <si>
    <t>251</t>
  </si>
  <si>
    <t>Кондольское</t>
  </si>
  <si>
    <t>56655431</t>
  </si>
  <si>
    <t>252</t>
  </si>
  <si>
    <t>Краснопольское</t>
  </si>
  <si>
    <t>56655439</t>
  </si>
  <si>
    <t>253</t>
  </si>
  <si>
    <t>Кучкинское</t>
  </si>
  <si>
    <t>56655432</t>
  </si>
  <si>
    <t>254</t>
  </si>
  <si>
    <t>Ленинское</t>
  </si>
  <si>
    <t>56655436</t>
  </si>
  <si>
    <t>255</t>
  </si>
  <si>
    <t>Леонидовское</t>
  </si>
  <si>
    <t>56655438</t>
  </si>
  <si>
    <t>256</t>
  </si>
  <si>
    <t>Мичуринское</t>
  </si>
  <si>
    <t>56655433</t>
  </si>
  <si>
    <t>257</t>
  </si>
  <si>
    <t>Оленевское</t>
  </si>
  <si>
    <t>56655434</t>
  </si>
  <si>
    <t>258</t>
  </si>
  <si>
    <t>259</t>
  </si>
  <si>
    <t>Покрово-Березовское</t>
  </si>
  <si>
    <t>56655442</t>
  </si>
  <si>
    <t>260</t>
  </si>
  <si>
    <t>Поселок Золотаревка</t>
  </si>
  <si>
    <t>56655153</t>
  </si>
  <si>
    <t>261</t>
  </si>
  <si>
    <t>Саловское</t>
  </si>
  <si>
    <t>56655437</t>
  </si>
  <si>
    <t>262</t>
  </si>
  <si>
    <t>Старокаменское</t>
  </si>
  <si>
    <t>56655443</t>
  </si>
  <si>
    <t>263</t>
  </si>
  <si>
    <t>Сердобский муниципальный район</t>
  </si>
  <si>
    <t>56656000</t>
  </si>
  <si>
    <t>Город Сердобск</t>
  </si>
  <si>
    <t>56656101</t>
  </si>
  <si>
    <t>264</t>
  </si>
  <si>
    <t>Долгоруковское</t>
  </si>
  <si>
    <t>56656407</t>
  </si>
  <si>
    <t>265</t>
  </si>
  <si>
    <t>Кировское</t>
  </si>
  <si>
    <t>56656413</t>
  </si>
  <si>
    <t>266</t>
  </si>
  <si>
    <t>Куракинское</t>
  </si>
  <si>
    <t>56656416</t>
  </si>
  <si>
    <t>267</t>
  </si>
  <si>
    <t>Мещерское</t>
  </si>
  <si>
    <t>56656420</t>
  </si>
  <si>
    <t>268</t>
  </si>
  <si>
    <t>Новостуденовское</t>
  </si>
  <si>
    <t>56656422</t>
  </si>
  <si>
    <t>269</t>
  </si>
  <si>
    <t>Песчанское</t>
  </si>
  <si>
    <t>56656425</t>
  </si>
  <si>
    <t>270</t>
  </si>
  <si>
    <t>Пригородное</t>
  </si>
  <si>
    <t>56656428</t>
  </si>
  <si>
    <t>271</t>
  </si>
  <si>
    <t>Рощинское</t>
  </si>
  <si>
    <t>56656431</t>
  </si>
  <si>
    <t>272</t>
  </si>
  <si>
    <t>Сазанское</t>
  </si>
  <si>
    <t>56656433</t>
  </si>
  <si>
    <t>273</t>
  </si>
  <si>
    <t>Секретарское</t>
  </si>
  <si>
    <t>56656434</t>
  </si>
  <si>
    <t>274</t>
  </si>
  <si>
    <t>275</t>
  </si>
  <si>
    <t>Сокольское</t>
  </si>
  <si>
    <t>56656437</t>
  </si>
  <si>
    <t>276</t>
  </si>
  <si>
    <t>Сосновоборский муниципальный район</t>
  </si>
  <si>
    <t>56657000</t>
  </si>
  <si>
    <t>Вачелайское</t>
  </si>
  <si>
    <t>56657402</t>
  </si>
  <si>
    <t>277</t>
  </si>
  <si>
    <t>Вязовское</t>
  </si>
  <si>
    <t>56657404</t>
  </si>
  <si>
    <t>278</t>
  </si>
  <si>
    <t>Еремеевское</t>
  </si>
  <si>
    <t>56657407</t>
  </si>
  <si>
    <t>279</t>
  </si>
  <si>
    <t>Индерское</t>
  </si>
  <si>
    <t>56657410</t>
  </si>
  <si>
    <t>280</t>
  </si>
  <si>
    <t>Малосадовское</t>
  </si>
  <si>
    <t>56657413</t>
  </si>
  <si>
    <t>281</t>
  </si>
  <si>
    <t>Маркинское</t>
  </si>
  <si>
    <t>56657416</t>
  </si>
  <si>
    <t>282</t>
  </si>
  <si>
    <t>Нижнекатмисское</t>
  </si>
  <si>
    <t>56657419</t>
  </si>
  <si>
    <t>283</t>
  </si>
  <si>
    <t>Нижнелиповское</t>
  </si>
  <si>
    <t>56657422</t>
  </si>
  <si>
    <t>284</t>
  </si>
  <si>
    <t>Нижнемывальское</t>
  </si>
  <si>
    <t>56657425</t>
  </si>
  <si>
    <t>285</t>
  </si>
  <si>
    <t>Николо-Барнуковское</t>
  </si>
  <si>
    <t>56657428</t>
  </si>
  <si>
    <t>286</t>
  </si>
  <si>
    <t>Пичилейское</t>
  </si>
  <si>
    <t>56657431</t>
  </si>
  <si>
    <t>287</t>
  </si>
  <si>
    <t>Поселок Сосновоборск</t>
  </si>
  <si>
    <t>56657151</t>
  </si>
  <si>
    <t>288</t>
  </si>
  <si>
    <t>Русско-Качимское</t>
  </si>
  <si>
    <t>56657434</t>
  </si>
  <si>
    <t>289</t>
  </si>
  <si>
    <t>290</t>
  </si>
  <si>
    <t>Шугуровское</t>
  </si>
  <si>
    <t>56657437</t>
  </si>
  <si>
    <t>291</t>
  </si>
  <si>
    <t>Спасский муниципальный район</t>
  </si>
  <si>
    <t>56606000</t>
  </si>
  <si>
    <t>Абашевское</t>
  </si>
  <si>
    <t>56606402</t>
  </si>
  <si>
    <t>292</t>
  </si>
  <si>
    <t>Беднодемьяновское</t>
  </si>
  <si>
    <t>56606403</t>
  </si>
  <si>
    <t>293</t>
  </si>
  <si>
    <t>Веденяпинское</t>
  </si>
  <si>
    <t>56606404</t>
  </si>
  <si>
    <t>294</t>
  </si>
  <si>
    <t>Город Спасск</t>
  </si>
  <si>
    <t>56606101</t>
  </si>
  <si>
    <t>295</t>
  </si>
  <si>
    <t>Дубровское</t>
  </si>
  <si>
    <t>56606407</t>
  </si>
  <si>
    <t>296</t>
  </si>
  <si>
    <t>Зубовское</t>
  </si>
  <si>
    <t>56606410</t>
  </si>
  <si>
    <t>297</t>
  </si>
  <si>
    <t>Кошелевское</t>
  </si>
  <si>
    <t>56606413</t>
  </si>
  <si>
    <t>298</t>
  </si>
  <si>
    <t>Рузановкое</t>
  </si>
  <si>
    <t>56606415</t>
  </si>
  <si>
    <t>299</t>
  </si>
  <si>
    <t>300</t>
  </si>
  <si>
    <t>Татаро-Шелдаисское</t>
  </si>
  <si>
    <t>56606416</t>
  </si>
  <si>
    <t>301</t>
  </si>
  <si>
    <t>Устьинское</t>
  </si>
  <si>
    <t>56606419</t>
  </si>
  <si>
    <t>302</t>
  </si>
  <si>
    <t>Тамалинский муниципальный район</t>
  </si>
  <si>
    <t>56658000</t>
  </si>
  <si>
    <t>Вишневское</t>
  </si>
  <si>
    <t>56658407</t>
  </si>
  <si>
    <t>303</t>
  </si>
  <si>
    <t>Волче-Вражское</t>
  </si>
  <si>
    <t>56658410</t>
  </si>
  <si>
    <t>304</t>
  </si>
  <si>
    <t>Малосергиевское</t>
  </si>
  <si>
    <t>56658425</t>
  </si>
  <si>
    <t>305</t>
  </si>
  <si>
    <t>Мачинское</t>
  </si>
  <si>
    <t>56658428</t>
  </si>
  <si>
    <t>306</t>
  </si>
  <si>
    <t>Поселок Тамала</t>
  </si>
  <si>
    <t>56658151</t>
  </si>
  <si>
    <t>307</t>
  </si>
  <si>
    <t>308</t>
  </si>
  <si>
    <t>Ульяновское</t>
  </si>
  <si>
    <t>56658437</t>
  </si>
  <si>
    <t>309</t>
  </si>
  <si>
    <t>Шемышейский муниципальный район</t>
  </si>
  <si>
    <t>56659000</t>
  </si>
  <si>
    <t>Армиевское</t>
  </si>
  <si>
    <t>56659402</t>
  </si>
  <si>
    <t>310</t>
  </si>
  <si>
    <t>Воробьевское</t>
  </si>
  <si>
    <t>56659404</t>
  </si>
  <si>
    <t>311</t>
  </si>
  <si>
    <t>56659406</t>
  </si>
  <si>
    <t>312</t>
  </si>
  <si>
    <t>Каржимантское</t>
  </si>
  <si>
    <t>56659407</t>
  </si>
  <si>
    <t>313</t>
  </si>
  <si>
    <t>Колдаисское</t>
  </si>
  <si>
    <t>56659408</t>
  </si>
  <si>
    <t>314</t>
  </si>
  <si>
    <t>Наскафтымское</t>
  </si>
  <si>
    <t>56659413</t>
  </si>
  <si>
    <t>315</t>
  </si>
  <si>
    <t>Поселок Шемышейка</t>
  </si>
  <si>
    <t>56659151</t>
  </si>
  <si>
    <t>316</t>
  </si>
  <si>
    <t>Руссконоркинское</t>
  </si>
  <si>
    <t>56659420</t>
  </si>
  <si>
    <t>317</t>
  </si>
  <si>
    <t>Синодское</t>
  </si>
  <si>
    <t>56659419</t>
  </si>
  <si>
    <t>318</t>
  </si>
  <si>
    <t>Стародемкинское</t>
  </si>
  <si>
    <t>56659422</t>
  </si>
  <si>
    <t>319</t>
  </si>
  <si>
    <t>Старозахаркинское</t>
  </si>
  <si>
    <t>56659425</t>
  </si>
  <si>
    <t>320</t>
  </si>
  <si>
    <t>Старояксарское</t>
  </si>
  <si>
    <t>56659428</t>
  </si>
  <si>
    <t>321</t>
  </si>
  <si>
    <t>Усть-Узинское</t>
  </si>
  <si>
    <t>56659431</t>
  </si>
  <si>
    <t>322</t>
  </si>
  <si>
    <t>323</t>
  </si>
  <si>
    <t>город Кузнецк</t>
  </si>
  <si>
    <t>56705000</t>
  </si>
  <si>
    <t>324</t>
  </si>
  <si>
    <t>город Пенза</t>
  </si>
  <si>
    <t>56701000</t>
  </si>
  <si>
    <t>325</t>
  </si>
  <si>
    <t>NUMBER_POINT</t>
  </si>
  <si>
    <t>L_NAME</t>
  </si>
  <si>
    <t>L_START_DATE</t>
  </si>
  <si>
    <t>L_END_DATE</t>
  </si>
  <si>
    <t>Инвестиционная программа по повышению энергетической, экологической эффективности на 2014-2023 гг.</t>
  </si>
  <si>
    <t>01.01.2014</t>
  </si>
  <si>
    <t>31.12.2023</t>
  </si>
  <si>
    <t>TER_NAME</t>
  </si>
  <si>
    <t>Территория 1</t>
  </si>
  <si>
    <t>ID_TARIFF_NAME</t>
  </si>
  <si>
    <t>TARIFF_NAME</t>
  </si>
  <si>
    <t>VED_NAME</t>
  </si>
  <si>
    <t>4189714</t>
  </si>
  <si>
    <t>4189713</t>
  </si>
  <si>
    <t>4189712</t>
  </si>
  <si>
    <t>Алейский муниципальный район</t>
  </si>
  <si>
    <t>01601000</t>
  </si>
  <si>
    <t>Алейский сельсовет</t>
  </si>
  <si>
    <t>01601402</t>
  </si>
  <si>
    <t>Безголосовский сельсовет</t>
  </si>
  <si>
    <t>01601408</t>
  </si>
  <si>
    <t>Большепанюшевский сельсовет</t>
  </si>
  <si>
    <t>01601413</t>
  </si>
  <si>
    <t>Боровской сельсовет</t>
  </si>
  <si>
    <t>01601417</t>
  </si>
  <si>
    <t>Дружбинский сельсовет</t>
  </si>
  <si>
    <t>01601420</t>
  </si>
  <si>
    <t>Дубровский сельсовет</t>
  </si>
  <si>
    <t>01601423</t>
  </si>
  <si>
    <t>Заветильичевский сельсовет</t>
  </si>
  <si>
    <t>01601426</t>
  </si>
  <si>
    <t>Кашинский сельсовет</t>
  </si>
  <si>
    <t>01601432</t>
  </si>
  <si>
    <t>Кировский сельсовет</t>
  </si>
  <si>
    <t>01601438</t>
  </si>
  <si>
    <t>Краснопартизанский сельсовет</t>
  </si>
  <si>
    <t>01601440</t>
  </si>
  <si>
    <t>Моховской сельсовет</t>
  </si>
  <si>
    <t>01601464</t>
  </si>
  <si>
    <t>Осколковский сельсовет</t>
  </si>
  <si>
    <t>01601468</t>
  </si>
  <si>
    <t>Плотавский сельсовет</t>
  </si>
  <si>
    <t>01601473</t>
  </si>
  <si>
    <t>Савинский сельсовет</t>
  </si>
  <si>
    <t>01601475</t>
  </si>
  <si>
    <t>Совхозный сельсовет</t>
  </si>
  <si>
    <t>01601477</t>
  </si>
  <si>
    <t>Урюпинский сельсовет</t>
  </si>
  <si>
    <t>01601485</t>
  </si>
  <si>
    <t>Фрунзенский сельсовет</t>
  </si>
  <si>
    <t>01601496</t>
  </si>
  <si>
    <t>Чапаевский сельсовет</t>
  </si>
  <si>
    <t>01601498</t>
  </si>
  <si>
    <t>Алтайский муниципальный район</t>
  </si>
  <si>
    <t>Айский сельсовет</t>
  </si>
  <si>
    <t>01602405</t>
  </si>
  <si>
    <t>01602000</t>
  </si>
  <si>
    <t>Алтайский сельсовет</t>
  </si>
  <si>
    <t>01602407</t>
  </si>
  <si>
    <t>Беловский сельсовет</t>
  </si>
  <si>
    <t>01602412</t>
  </si>
  <si>
    <t>Куяганский сельсовет</t>
  </si>
  <si>
    <t>01602423</t>
  </si>
  <si>
    <t>Куячинский сельсовет</t>
  </si>
  <si>
    <t>01602427</t>
  </si>
  <si>
    <t>Макарьевский сельсовет</t>
  </si>
  <si>
    <t>01602435</t>
  </si>
  <si>
    <t>Нижнекаменский сельсовет</t>
  </si>
  <si>
    <t>01602446</t>
  </si>
  <si>
    <t>Пролетарский сельсовет</t>
  </si>
  <si>
    <t>01602457</t>
  </si>
  <si>
    <t>Россошинский сельсовет</t>
  </si>
  <si>
    <t>01602468</t>
  </si>
  <si>
    <t>Старобелокурихинский сельсовет</t>
  </si>
  <si>
    <t>01602479</t>
  </si>
  <si>
    <t>Баевский муниципальный район</t>
  </si>
  <si>
    <t>01603000</t>
  </si>
  <si>
    <t>Баевский сельсовет</t>
  </si>
  <si>
    <t>01603407</t>
  </si>
  <si>
    <t>Верх-Пайвинский сельсовет</t>
  </si>
  <si>
    <t>01603416</t>
  </si>
  <si>
    <t>Верх-Чуманский сельсовет</t>
  </si>
  <si>
    <t>01603419</t>
  </si>
  <si>
    <t>Нижнечуманский сельсовет</t>
  </si>
  <si>
    <t>01603437</t>
  </si>
  <si>
    <t>Паклинский сельсовет</t>
  </si>
  <si>
    <t>01603455</t>
  </si>
  <si>
    <t>01603458</t>
  </si>
  <si>
    <t>Прослаухинский сельсовет</t>
  </si>
  <si>
    <t>01603469</t>
  </si>
  <si>
    <t>Ситниковский сельсовет</t>
  </si>
  <si>
    <t>01603480</t>
  </si>
  <si>
    <t>Бийский муниципальный район</t>
  </si>
  <si>
    <t>01604000</t>
  </si>
  <si>
    <t>Большеугреневский сельсовет</t>
  </si>
  <si>
    <t>01604410</t>
  </si>
  <si>
    <t>Верх-Бехтемирский сельсовет</t>
  </si>
  <si>
    <t>01604415</t>
  </si>
  <si>
    <t>Верх-Катунский сельсовет</t>
  </si>
  <si>
    <t>01604417</t>
  </si>
  <si>
    <t>Енисейский сельсовет</t>
  </si>
  <si>
    <t>01604422</t>
  </si>
  <si>
    <t>Заринский сельсовет</t>
  </si>
  <si>
    <t>01604424</t>
  </si>
  <si>
    <t>Калининский сельсовет</t>
  </si>
  <si>
    <t>01604434</t>
  </si>
  <si>
    <t>Лесной сельсовет</t>
  </si>
  <si>
    <t>01604437</t>
  </si>
  <si>
    <t>Малоенисейский сельсовет</t>
  </si>
  <si>
    <t>01604455</t>
  </si>
  <si>
    <t>Малоугреневский сельсовет</t>
  </si>
  <si>
    <t>01604459</t>
  </si>
  <si>
    <t>Новиковский сельсовет</t>
  </si>
  <si>
    <t>01604464</t>
  </si>
  <si>
    <t>Первомайский сельсовет</t>
  </si>
  <si>
    <t>01604470</t>
  </si>
  <si>
    <t>Светлоозерский сельсовет</t>
  </si>
  <si>
    <t>01604480</t>
  </si>
  <si>
    <t>Сростинский сельсовет</t>
  </si>
  <si>
    <t>01604483</t>
  </si>
  <si>
    <t>Усятский сельсовет</t>
  </si>
  <si>
    <t>01604488</t>
  </si>
  <si>
    <t>Шебалинский сельсовет</t>
  </si>
  <si>
    <t>01604495</t>
  </si>
  <si>
    <t>Благовещенский муниципальный район</t>
  </si>
  <si>
    <t>Алексеевский сельсовет</t>
  </si>
  <si>
    <t>01605406</t>
  </si>
  <si>
    <t>01605000</t>
  </si>
  <si>
    <t>Благовещенский поссовет</t>
  </si>
  <si>
    <t>01605151</t>
  </si>
  <si>
    <t>Гляденьский сельсовет</t>
  </si>
  <si>
    <t>01605420</t>
  </si>
  <si>
    <t>Леньковский сельсовет</t>
  </si>
  <si>
    <t>01605436</t>
  </si>
  <si>
    <t>Нижнекучукский сельсовет</t>
  </si>
  <si>
    <t>01605447</t>
  </si>
  <si>
    <t>Николаевский сельсовет</t>
  </si>
  <si>
    <t>01605452</t>
  </si>
  <si>
    <t>Новокулундинский сельсовет</t>
  </si>
  <si>
    <t>01605456</t>
  </si>
  <si>
    <t>Орлеанский сельсовет</t>
  </si>
  <si>
    <t>01605458</t>
  </si>
  <si>
    <t>Степноозёрский поссовет</t>
  </si>
  <si>
    <t>01605157</t>
  </si>
  <si>
    <t>Суворовский сельсовет</t>
  </si>
  <si>
    <t>01605461</t>
  </si>
  <si>
    <t>Шимолинский сельсовет</t>
  </si>
  <si>
    <t>01605483</t>
  </si>
  <si>
    <t>Яготинский сельсовет</t>
  </si>
  <si>
    <t>01605494</t>
  </si>
  <si>
    <t>Бурлинский муниципальный район</t>
  </si>
  <si>
    <t>01606000</t>
  </si>
  <si>
    <t>Бурлинский сельсовет</t>
  </si>
  <si>
    <t>01606411</t>
  </si>
  <si>
    <t>Михайловский сельсовет</t>
  </si>
  <si>
    <t>01606422</t>
  </si>
  <si>
    <t>Новоандреевский сельсовет</t>
  </si>
  <si>
    <t>01606430</t>
  </si>
  <si>
    <t>Новопесчанский сельсовет</t>
  </si>
  <si>
    <t>01606433</t>
  </si>
  <si>
    <t>Новосельский сельсовет</t>
  </si>
  <si>
    <t>01606444</t>
  </si>
  <si>
    <t>Ореховский сельсовет</t>
  </si>
  <si>
    <t>01606455</t>
  </si>
  <si>
    <t>Партизанский сельсовет</t>
  </si>
  <si>
    <t>01606466</t>
  </si>
  <si>
    <t>Рожковский сельсовет</t>
  </si>
  <si>
    <t>01606470</t>
  </si>
  <si>
    <t>Устьянский сельсовет</t>
  </si>
  <si>
    <t>01606477</t>
  </si>
  <si>
    <t>Быстроистокский муниципальный район</t>
  </si>
  <si>
    <t>Акутихинский сельсовет</t>
  </si>
  <si>
    <t>01607403</t>
  </si>
  <si>
    <t>01607000</t>
  </si>
  <si>
    <t>Быстроистокский сельсовет</t>
  </si>
  <si>
    <t>01607405</t>
  </si>
  <si>
    <t>Верх-Ануйский сельсовет</t>
  </si>
  <si>
    <t>01607411</t>
  </si>
  <si>
    <t>Верх-Озернинский сельсовет</t>
  </si>
  <si>
    <t>01607422</t>
  </si>
  <si>
    <t>Новопокровский сельсовет</t>
  </si>
  <si>
    <t>01607433</t>
  </si>
  <si>
    <t>Приобский сельсовет</t>
  </si>
  <si>
    <t>01607437</t>
  </si>
  <si>
    <t>Усть-Ануйский сельсовет</t>
  </si>
  <si>
    <t>01607444</t>
  </si>
  <si>
    <t>Хлеборобный сельсовет</t>
  </si>
  <si>
    <t>01607455</t>
  </si>
  <si>
    <t>Волчихинский муниципальный район</t>
  </si>
  <si>
    <t>Березовский сельсовет</t>
  </si>
  <si>
    <t>01608410</t>
  </si>
  <si>
    <t>Бор-Форпостовский сельсовет</t>
  </si>
  <si>
    <t>01608414</t>
  </si>
  <si>
    <t>01608000</t>
  </si>
  <si>
    <t>Волчихинский сельсовет</t>
  </si>
  <si>
    <t>01608421</t>
  </si>
  <si>
    <t>Востровский сельсовет</t>
  </si>
  <si>
    <t>01608423</t>
  </si>
  <si>
    <t>Коминтерновский сельсовет</t>
  </si>
  <si>
    <t>01608430</t>
  </si>
  <si>
    <t>Малышево-Логовской сельсовет</t>
  </si>
  <si>
    <t>01608434</t>
  </si>
  <si>
    <t>Новокормихинский сельсовет</t>
  </si>
  <si>
    <t>01608445</t>
  </si>
  <si>
    <t>Пятковологовской сельсовет</t>
  </si>
  <si>
    <t>01608456</t>
  </si>
  <si>
    <t>Селиверстовский сельсовет</t>
  </si>
  <si>
    <t>01608467</t>
  </si>
  <si>
    <t>Солоновский сельсовет</t>
  </si>
  <si>
    <t>01608478</t>
  </si>
  <si>
    <t>Усть-Волчихинский сельсовет</t>
  </si>
  <si>
    <t>01608489</t>
  </si>
  <si>
    <t>Город Алейск</t>
  </si>
  <si>
    <t>01703000</t>
  </si>
  <si>
    <t>Город Барнаул</t>
  </si>
  <si>
    <t>01701000</t>
  </si>
  <si>
    <t>Город Белокуриха</t>
  </si>
  <si>
    <t>01704000</t>
  </si>
  <si>
    <t>Город Бийск</t>
  </si>
  <si>
    <t>01705000</t>
  </si>
  <si>
    <t>Город Заринск</t>
  </si>
  <si>
    <t>01706000</t>
  </si>
  <si>
    <t>Город Новоалтайск</t>
  </si>
  <si>
    <t>01713000</t>
  </si>
  <si>
    <t>Город Рубцовск</t>
  </si>
  <si>
    <t>01716000</t>
  </si>
  <si>
    <t>Город Славгород</t>
  </si>
  <si>
    <t>01719000</t>
  </si>
  <si>
    <t>Город Яровое</t>
  </si>
  <si>
    <t>01730000</t>
  </si>
  <si>
    <t>Егорьевский муниципальный район</t>
  </si>
  <si>
    <t>01609000</t>
  </si>
  <si>
    <t>Кругло-Семенцовский сельсовет</t>
  </si>
  <si>
    <t>01609411</t>
  </si>
  <si>
    <t>Лебяжинский сельсовет</t>
  </si>
  <si>
    <t>01609422</t>
  </si>
  <si>
    <t>Малошелковниковский сельсовет</t>
  </si>
  <si>
    <t>01609428</t>
  </si>
  <si>
    <t>Новоегорьевский сельсовет</t>
  </si>
  <si>
    <t>01609433</t>
  </si>
  <si>
    <t>01609444</t>
  </si>
  <si>
    <t>01609455</t>
  </si>
  <si>
    <t>Титовский сельсовет</t>
  </si>
  <si>
    <t>01609466</t>
  </si>
  <si>
    <t>Шубинский сельсовет</t>
  </si>
  <si>
    <t>01609490</t>
  </si>
  <si>
    <t>Ельцовский муниципальный район</t>
  </si>
  <si>
    <t>Верх-Ненинский сельсовет</t>
  </si>
  <si>
    <t>01610411</t>
  </si>
  <si>
    <t>01610000</t>
  </si>
  <si>
    <t>Ельцовский сельсовет</t>
  </si>
  <si>
    <t>01610422</t>
  </si>
  <si>
    <t>Мартыновский сельсовет</t>
  </si>
  <si>
    <t>01610433</t>
  </si>
  <si>
    <t>Новокаменский сельсовет</t>
  </si>
  <si>
    <t>01610444</t>
  </si>
  <si>
    <t>Пуштулимский сельсовет</t>
  </si>
  <si>
    <t>01610466</t>
  </si>
  <si>
    <t>Черемшанский сельсовет</t>
  </si>
  <si>
    <t>01610488</t>
  </si>
  <si>
    <t>ЗАТО Сибирский</t>
  </si>
  <si>
    <t>01755000</t>
  </si>
  <si>
    <t>Завьяловский муниципальный район</t>
  </si>
  <si>
    <t>Гилевский сельсовет</t>
  </si>
  <si>
    <t>01611411</t>
  </si>
  <si>
    <t>Глубоковский сельсовет</t>
  </si>
  <si>
    <t>01611416</t>
  </si>
  <si>
    <t>Гоноховский сельсовет</t>
  </si>
  <si>
    <t>01611423</t>
  </si>
  <si>
    <t>01611000</t>
  </si>
  <si>
    <t>Завьяловский сельсовет</t>
  </si>
  <si>
    <t>01611434</t>
  </si>
  <si>
    <t>Камышенский сельсовет</t>
  </si>
  <si>
    <t>01611445</t>
  </si>
  <si>
    <t>Малиновский сельсовет</t>
  </si>
  <si>
    <t>01611456</t>
  </si>
  <si>
    <t>Овечкинский сельсовет</t>
  </si>
  <si>
    <t>01611467</t>
  </si>
  <si>
    <t>Светловский сельсовет</t>
  </si>
  <si>
    <t>01611469</t>
  </si>
  <si>
    <t>Тумановский сельсовет</t>
  </si>
  <si>
    <t>01611470</t>
  </si>
  <si>
    <t>Харитоновский сельсовет</t>
  </si>
  <si>
    <t>01611478</t>
  </si>
  <si>
    <t>Чернавский сельсовет</t>
  </si>
  <si>
    <t>01611486</t>
  </si>
  <si>
    <t>Чистоозерский сельсовет</t>
  </si>
  <si>
    <t>01611489</t>
  </si>
  <si>
    <t>Залесовский муниципальный округ</t>
  </si>
  <si>
    <t>01512000</t>
  </si>
  <si>
    <t>Заринский муниципальный район</t>
  </si>
  <si>
    <t>Аламбайский сельсовет</t>
  </si>
  <si>
    <t>01613406</t>
  </si>
  <si>
    <t>Верх-Камышенский сельсовет</t>
  </si>
  <si>
    <t>01613420</t>
  </si>
  <si>
    <t>Воскресенский сельсовет</t>
  </si>
  <si>
    <t>01613425</t>
  </si>
  <si>
    <t>Голухинский сельсовет</t>
  </si>
  <si>
    <t>01613428</t>
  </si>
  <si>
    <t>Гоношихинский сельсовет</t>
  </si>
  <si>
    <t>01613430</t>
  </si>
  <si>
    <t>Гришинский сельсовет</t>
  </si>
  <si>
    <t>01613434</t>
  </si>
  <si>
    <t>Жуланихинский сельсовет</t>
  </si>
  <si>
    <t>01613436</t>
  </si>
  <si>
    <t>01613000</t>
  </si>
  <si>
    <t>Зыряновский сельсовет</t>
  </si>
  <si>
    <t>01613438</t>
  </si>
  <si>
    <t>Комарский сельсовет</t>
  </si>
  <si>
    <t>01613450</t>
  </si>
  <si>
    <t>Новодраченинский сельсовет</t>
  </si>
  <si>
    <t>01613460</t>
  </si>
  <si>
    <t>Новозыряновский сельсовет</t>
  </si>
  <si>
    <t>01613461</t>
  </si>
  <si>
    <t>Новокопыловский сельсовет</t>
  </si>
  <si>
    <t>01613464</t>
  </si>
  <si>
    <t>Новомоношкинский сельсовет</t>
  </si>
  <si>
    <t>01613468</t>
  </si>
  <si>
    <t>Смазневский сельсовет</t>
  </si>
  <si>
    <t>01613474</t>
  </si>
  <si>
    <t>Сосновский сельсовет</t>
  </si>
  <si>
    <t>01613478</t>
  </si>
  <si>
    <t>Стародраченинский сельсовет</t>
  </si>
  <si>
    <t>01613487</t>
  </si>
  <si>
    <t>Тягунский сельсовет</t>
  </si>
  <si>
    <t>01613488</t>
  </si>
  <si>
    <t>Хмелевский сельсовет</t>
  </si>
  <si>
    <t>01613492</t>
  </si>
  <si>
    <t>Шпагинский сельсовет</t>
  </si>
  <si>
    <t>01613494</t>
  </si>
  <si>
    <t>Яновский сельсовет</t>
  </si>
  <si>
    <t>01613496</t>
  </si>
  <si>
    <t>Змеиногорский муниципальный район</t>
  </si>
  <si>
    <t>Барановский сельсовет</t>
  </si>
  <si>
    <t>01614422</t>
  </si>
  <si>
    <t>01614000</t>
  </si>
  <si>
    <t>Карамышевский сельсовет</t>
  </si>
  <si>
    <t>01614433</t>
  </si>
  <si>
    <t>Кузьминский сельсовет</t>
  </si>
  <si>
    <t>01614444</t>
  </si>
  <si>
    <t>Октябрьский сельсовет</t>
  </si>
  <si>
    <t>01614455</t>
  </si>
  <si>
    <t>Саввушинский сельсовет</t>
  </si>
  <si>
    <t>01614466</t>
  </si>
  <si>
    <t>Таловский сельсовет</t>
  </si>
  <si>
    <t>01614477</t>
  </si>
  <si>
    <t>Черепановский сельсовет</t>
  </si>
  <si>
    <t>01614488</t>
  </si>
  <si>
    <t>город Змеиногорск</t>
  </si>
  <si>
    <t>01614101</t>
  </si>
  <si>
    <t>Зональный муниципальный район</t>
  </si>
  <si>
    <t>Буланихинский сельсовет</t>
  </si>
  <si>
    <t>01629412</t>
  </si>
  <si>
    <t>01629000</t>
  </si>
  <si>
    <t>Зональный сельсовет</t>
  </si>
  <si>
    <t>01629426</t>
  </si>
  <si>
    <t>Луговской сельсовет</t>
  </si>
  <si>
    <t>01629442</t>
  </si>
  <si>
    <t>Новочемровский сельсовет</t>
  </si>
  <si>
    <t>01629466</t>
  </si>
  <si>
    <t>01629470</t>
  </si>
  <si>
    <t>Плешковский сельсовет</t>
  </si>
  <si>
    <t>01629474</t>
  </si>
  <si>
    <t>Соколовский сельсовет</t>
  </si>
  <si>
    <t>01629480</t>
  </si>
  <si>
    <t>Чемровский сельсовет</t>
  </si>
  <si>
    <t>01629493</t>
  </si>
  <si>
    <t>Шубенский сельсовет</t>
  </si>
  <si>
    <t>01629496</t>
  </si>
  <si>
    <t>Калманский муниципальный район</t>
  </si>
  <si>
    <t>Бурановский сельсовет</t>
  </si>
  <si>
    <t>01615409</t>
  </si>
  <si>
    <t>Зимаревский сельсовет</t>
  </si>
  <si>
    <t>01615414</t>
  </si>
  <si>
    <t>Калистратихинский сельсовет</t>
  </si>
  <si>
    <t>01615425</t>
  </si>
  <si>
    <t>01615000</t>
  </si>
  <si>
    <t>Калманский сельсовет</t>
  </si>
  <si>
    <t>01615427</t>
  </si>
  <si>
    <t>Кубанский сельсовет</t>
  </si>
  <si>
    <t>01615435</t>
  </si>
  <si>
    <t>Новоромановский сельсовет</t>
  </si>
  <si>
    <t>01615457</t>
  </si>
  <si>
    <t>Обской сельсовет</t>
  </si>
  <si>
    <t>01615468</t>
  </si>
  <si>
    <t>Усть-Алейский сельсовет</t>
  </si>
  <si>
    <t>01615480</t>
  </si>
  <si>
    <t>Шадринский сельсовет</t>
  </si>
  <si>
    <t>01615485</t>
  </si>
  <si>
    <t>Шиловский сельсовет</t>
  </si>
  <si>
    <t>01615450</t>
  </si>
  <si>
    <t>Аллакский сельсовет</t>
  </si>
  <si>
    <t>01616404</t>
  </si>
  <si>
    <t>Верх-Аллакский сельсовет</t>
  </si>
  <si>
    <t>01616413</t>
  </si>
  <si>
    <t>01616417</t>
  </si>
  <si>
    <t>01616000</t>
  </si>
  <si>
    <t>Корниловский сельсовет</t>
  </si>
  <si>
    <t>01616437</t>
  </si>
  <si>
    <t>Новоярковский сельсовет</t>
  </si>
  <si>
    <t>01616461</t>
  </si>
  <si>
    <t>Плотниковский сельсовет</t>
  </si>
  <si>
    <t>01616468</t>
  </si>
  <si>
    <t>Попереченский сельсовет</t>
  </si>
  <si>
    <t>01616473</t>
  </si>
  <si>
    <t>Пригородный сельсовет</t>
  </si>
  <si>
    <t>01616475</t>
  </si>
  <si>
    <t>Рыбинский сельсовет</t>
  </si>
  <si>
    <t>01616482</t>
  </si>
  <si>
    <t>Столбовский сельсовет</t>
  </si>
  <si>
    <t>01616486</t>
  </si>
  <si>
    <t>Телеутский сельсовет</t>
  </si>
  <si>
    <t>01616490</t>
  </si>
  <si>
    <t>Толстовский сельсовет</t>
  </si>
  <si>
    <t>01616494</t>
  </si>
  <si>
    <t>Филипповский сельсовет</t>
  </si>
  <si>
    <t>01616497</t>
  </si>
  <si>
    <t>город Камень-на-Оби</t>
  </si>
  <si>
    <t>01616101</t>
  </si>
  <si>
    <t>Ключевский муниципальный район</t>
  </si>
  <si>
    <t>Васильчуковский сельсовет</t>
  </si>
  <si>
    <t>01617406</t>
  </si>
  <si>
    <t>Зеленополянский сельсовет</t>
  </si>
  <si>
    <t>01617412</t>
  </si>
  <si>
    <t>Истимисский сельсовет</t>
  </si>
  <si>
    <t>01617415</t>
  </si>
  <si>
    <t>Каипский сельсовет</t>
  </si>
  <si>
    <t>01617420</t>
  </si>
  <si>
    <t>01617000</t>
  </si>
  <si>
    <t>Ключевский сельсовет</t>
  </si>
  <si>
    <t>01617424</t>
  </si>
  <si>
    <t>Новополтавский сельсовет</t>
  </si>
  <si>
    <t>01617435</t>
  </si>
  <si>
    <t>Новоцелинный сельсовет</t>
  </si>
  <si>
    <t>01617437</t>
  </si>
  <si>
    <t>Петуховский сельсовет</t>
  </si>
  <si>
    <t>01617446</t>
  </si>
  <si>
    <t>Покровский сельсовет</t>
  </si>
  <si>
    <t>01617468</t>
  </si>
  <si>
    <t>Северский сельсовет</t>
  </si>
  <si>
    <t>01617479</t>
  </si>
  <si>
    <t>Косихинский муниципальный район</t>
  </si>
  <si>
    <t>Баюновский сельсовет</t>
  </si>
  <si>
    <t>01618406</t>
  </si>
  <si>
    <t>Верх-Жилинский сельсовет</t>
  </si>
  <si>
    <t>01618414</t>
  </si>
  <si>
    <t>Глушинский сельсовет</t>
  </si>
  <si>
    <t>01618420</t>
  </si>
  <si>
    <t>Каркавинский сельсовет</t>
  </si>
  <si>
    <t>01618425</t>
  </si>
  <si>
    <t>Контошинский сельсовет</t>
  </si>
  <si>
    <t>01618430</t>
  </si>
  <si>
    <t>01618000</t>
  </si>
  <si>
    <t>Косихинский сельсовет</t>
  </si>
  <si>
    <t>01618434</t>
  </si>
  <si>
    <t>Лосихинский сельсовет</t>
  </si>
  <si>
    <t>01618440</t>
  </si>
  <si>
    <t>Малаховский сельсовет</t>
  </si>
  <si>
    <t>01618449</t>
  </si>
  <si>
    <t>Налобихинский сельсовет</t>
  </si>
  <si>
    <t>01618460</t>
  </si>
  <si>
    <t>01618466</t>
  </si>
  <si>
    <t>Полковниковский сельсовет</t>
  </si>
  <si>
    <t>01618468</t>
  </si>
  <si>
    <t>Красногорский муниципальный район</t>
  </si>
  <si>
    <t>01619405</t>
  </si>
  <si>
    <t>Быстрянский сельсовет</t>
  </si>
  <si>
    <t>01619407</t>
  </si>
  <si>
    <t>01619000</t>
  </si>
  <si>
    <t>Красногорский сельсовет</t>
  </si>
  <si>
    <t>01619423</t>
  </si>
  <si>
    <t>Новозыковский сельсовет</t>
  </si>
  <si>
    <t>01619445</t>
  </si>
  <si>
    <t>Новоталовский сельсовет</t>
  </si>
  <si>
    <t>01619447</t>
  </si>
  <si>
    <t>Соусканихинский сельсовет</t>
  </si>
  <si>
    <t>01619456</t>
  </si>
  <si>
    <t>Усть-Ишинский сельсовет</t>
  </si>
  <si>
    <t>01619478</t>
  </si>
  <si>
    <t>Усть-Кажинский сельсовет</t>
  </si>
  <si>
    <t>01619489</t>
  </si>
  <si>
    <t>Краснощёковский муниципальный район</t>
  </si>
  <si>
    <t>Акимовский сельсовет</t>
  </si>
  <si>
    <t>01620406</t>
  </si>
  <si>
    <t>01620412</t>
  </si>
  <si>
    <t>01620417</t>
  </si>
  <si>
    <t>Карповский сельсовет</t>
  </si>
  <si>
    <t>01620424</t>
  </si>
  <si>
    <t>01620000</t>
  </si>
  <si>
    <t>Краснощековский сельсовет</t>
  </si>
  <si>
    <t>01620430</t>
  </si>
  <si>
    <t>Маралихинский сельсовет</t>
  </si>
  <si>
    <t>01620442</t>
  </si>
  <si>
    <t>Новошипуновский сельсовет</t>
  </si>
  <si>
    <t>01620448</t>
  </si>
  <si>
    <t>Суетский сельсовет</t>
  </si>
  <si>
    <t>01620459</t>
  </si>
  <si>
    <t>Усть-Беловский сельсовет</t>
  </si>
  <si>
    <t>01620468</t>
  </si>
  <si>
    <t>Усть-Козлухинский сельсовет</t>
  </si>
  <si>
    <t>01620470</t>
  </si>
  <si>
    <t>Усть-Пустынский сельсовет</t>
  </si>
  <si>
    <t>01620472</t>
  </si>
  <si>
    <t>Харловский сельсовет</t>
  </si>
  <si>
    <t>01620481</t>
  </si>
  <si>
    <t>Чинетинский сельсовет</t>
  </si>
  <si>
    <t>01620492</t>
  </si>
  <si>
    <t>Крутихинский муниципальный район</t>
  </si>
  <si>
    <t>01621406</t>
  </si>
  <si>
    <t>Волчно-Бурлинский сельсовет</t>
  </si>
  <si>
    <t>01621412</t>
  </si>
  <si>
    <t>Долганский сельсовет</t>
  </si>
  <si>
    <t>01621418</t>
  </si>
  <si>
    <t>Заковряшинский сельсовет</t>
  </si>
  <si>
    <t>01621424</t>
  </si>
  <si>
    <t>01621000</t>
  </si>
  <si>
    <t>Крутихинский сельсовет</t>
  </si>
  <si>
    <t>01621430</t>
  </si>
  <si>
    <t>Маловолчанский сельсовет</t>
  </si>
  <si>
    <t>01621436</t>
  </si>
  <si>
    <t>Новодубровский сельсовет</t>
  </si>
  <si>
    <t>01621442</t>
  </si>
  <si>
    <t>Подборный сельсовет</t>
  </si>
  <si>
    <t>01621446</t>
  </si>
  <si>
    <t>Прыганский сельсовет</t>
  </si>
  <si>
    <t>01621448</t>
  </si>
  <si>
    <t>Кулундинский муниципальный район</t>
  </si>
  <si>
    <t>Ананьевский сельсовет</t>
  </si>
  <si>
    <t>01622411</t>
  </si>
  <si>
    <t>Воздвиженский сельсовет</t>
  </si>
  <si>
    <t>01622433</t>
  </si>
  <si>
    <t>Златополинский сельсовет</t>
  </si>
  <si>
    <t>01622444</t>
  </si>
  <si>
    <t>Константиновский сельсовет</t>
  </si>
  <si>
    <t>01622455</t>
  </si>
  <si>
    <t>01622000</t>
  </si>
  <si>
    <t>Кулундинский сельсовет</t>
  </si>
  <si>
    <t>01622460</t>
  </si>
  <si>
    <t>Курский сельсовет</t>
  </si>
  <si>
    <t>01622466</t>
  </si>
  <si>
    <t>Мирабилитский сельсовет</t>
  </si>
  <si>
    <t>01622472</t>
  </si>
  <si>
    <t>01622477</t>
  </si>
  <si>
    <t>Семеновский сельсовет</t>
  </si>
  <si>
    <t>01622488</t>
  </si>
  <si>
    <t>Курьинский муниципальный район</t>
  </si>
  <si>
    <t>Бугрышихинский сельсовет</t>
  </si>
  <si>
    <t>01623411</t>
  </si>
  <si>
    <t>Ивановский сельсовет</t>
  </si>
  <si>
    <t>01623422</t>
  </si>
  <si>
    <t>Казанцевский сельсовет</t>
  </si>
  <si>
    <t>01623433</t>
  </si>
  <si>
    <t>Колыванский сельсовет</t>
  </si>
  <si>
    <t>01623438</t>
  </si>
  <si>
    <t>Краснознаменский сельсовет</t>
  </si>
  <si>
    <t>01623444</t>
  </si>
  <si>
    <t>Кузнецовский сельсовет</t>
  </si>
  <si>
    <t>01623455</t>
  </si>
  <si>
    <t>01623000</t>
  </si>
  <si>
    <t>Курьинский сельсовет</t>
  </si>
  <si>
    <t>01623466</t>
  </si>
  <si>
    <t>Новофирсовский сельсовет</t>
  </si>
  <si>
    <t>01623468</t>
  </si>
  <si>
    <t>Трусовский сельсовет</t>
  </si>
  <si>
    <t>01623477</t>
  </si>
  <si>
    <t>Усть-Таловский сельсовет</t>
  </si>
  <si>
    <t>01623488</t>
  </si>
  <si>
    <t>Кытмановский муниципальный район</t>
  </si>
  <si>
    <t>Дмитро-Титовский сельсовет</t>
  </si>
  <si>
    <t>01624407</t>
  </si>
  <si>
    <t>01624000</t>
  </si>
  <si>
    <t>Кытмановский сельсовет</t>
  </si>
  <si>
    <t>01624423</t>
  </si>
  <si>
    <t>Новотарабинский сельсовет</t>
  </si>
  <si>
    <t>01624446</t>
  </si>
  <si>
    <t>01624457</t>
  </si>
  <si>
    <t>Порошинский сельсовет</t>
  </si>
  <si>
    <t>01624469</t>
  </si>
  <si>
    <t>Семено-Красиловский сельсовет</t>
  </si>
  <si>
    <t>01624480</t>
  </si>
  <si>
    <t>Сунгайский сельсовет</t>
  </si>
  <si>
    <t>01624491</t>
  </si>
  <si>
    <t>01624493</t>
  </si>
  <si>
    <t>Тяхтинский сельсовет</t>
  </si>
  <si>
    <t>01624494</t>
  </si>
  <si>
    <t>Червовский сельсовет</t>
  </si>
  <si>
    <t>01624434</t>
  </si>
  <si>
    <t>Локтевский муниципальный район</t>
  </si>
  <si>
    <t>Александровский сельсовет</t>
  </si>
  <si>
    <t>01625404</t>
  </si>
  <si>
    <t>Второкаменский сельсовет</t>
  </si>
  <si>
    <t>01625409</t>
  </si>
  <si>
    <t>Георгиевский сельсовет</t>
  </si>
  <si>
    <t>01625413</t>
  </si>
  <si>
    <t>01625417</t>
  </si>
  <si>
    <t>Город Горняк</t>
  </si>
  <si>
    <t>01625101</t>
  </si>
  <si>
    <t>Ермошихинский сельсовет</t>
  </si>
  <si>
    <t>01625419</t>
  </si>
  <si>
    <t>Золотухинский сельсовет</t>
  </si>
  <si>
    <t>01625421</t>
  </si>
  <si>
    <t>01625426</t>
  </si>
  <si>
    <t>01625000</t>
  </si>
  <si>
    <t>Локтевский сельсовет</t>
  </si>
  <si>
    <t>01625434</t>
  </si>
  <si>
    <t>Масальский сельсовет</t>
  </si>
  <si>
    <t>01625440</t>
  </si>
  <si>
    <t>01625449</t>
  </si>
  <si>
    <t>Новенский сельсовет</t>
  </si>
  <si>
    <t>01625456</t>
  </si>
  <si>
    <t>Новомихайловский сельсовет</t>
  </si>
  <si>
    <t>01625459</t>
  </si>
  <si>
    <t>01625466</t>
  </si>
  <si>
    <t>Ремовский сельсовет</t>
  </si>
  <si>
    <t>01625473</t>
  </si>
  <si>
    <t>Самарский сельсовет</t>
  </si>
  <si>
    <t>01625476</t>
  </si>
  <si>
    <t>Успенский сельсовет</t>
  </si>
  <si>
    <t>01625484</t>
  </si>
  <si>
    <t>01625495</t>
  </si>
  <si>
    <t>Мамонтовский муниципальный район</t>
  </si>
  <si>
    <t>Буканский сельсовет</t>
  </si>
  <si>
    <t>01626406</t>
  </si>
  <si>
    <t>Гришенский сельсовет</t>
  </si>
  <si>
    <t>01626412</t>
  </si>
  <si>
    <t>Кадниковский сельсовет</t>
  </si>
  <si>
    <t>01626424</t>
  </si>
  <si>
    <t>Комсомольский сельсовет</t>
  </si>
  <si>
    <t>01626429</t>
  </si>
  <si>
    <t>Корчинский сельсовет</t>
  </si>
  <si>
    <t>01626434</t>
  </si>
  <si>
    <t>Костино-Логовской сельсовет</t>
  </si>
  <si>
    <t>01626437</t>
  </si>
  <si>
    <t>Крестьянский сельсовет</t>
  </si>
  <si>
    <t>01626442</t>
  </si>
  <si>
    <t>01626000</t>
  </si>
  <si>
    <t>Мамонтовский сельсовет</t>
  </si>
  <si>
    <t>01626449</t>
  </si>
  <si>
    <t>Островновский сельсовет</t>
  </si>
  <si>
    <t>01626460</t>
  </si>
  <si>
    <t>01626468</t>
  </si>
  <si>
    <t>Сусловский сельсовет</t>
  </si>
  <si>
    <t>01626473</t>
  </si>
  <si>
    <t>Тимирязевский сельсовет</t>
  </si>
  <si>
    <t>01626478</t>
  </si>
  <si>
    <t>Чернокурьинский сельсовет</t>
  </si>
  <si>
    <t>01626492</t>
  </si>
  <si>
    <t>Михайловский муниципальный район</t>
  </si>
  <si>
    <t>Ащегульский сельсовет</t>
  </si>
  <si>
    <t>01627405</t>
  </si>
  <si>
    <t>Бастанский сельсовет</t>
  </si>
  <si>
    <t>01627411</t>
  </si>
  <si>
    <t>Малиновоозёрский поссовет</t>
  </si>
  <si>
    <t>01627154</t>
  </si>
  <si>
    <t>01627000</t>
  </si>
  <si>
    <t>01627416</t>
  </si>
  <si>
    <t>Назаровский сельсовет</t>
  </si>
  <si>
    <t>01627420</t>
  </si>
  <si>
    <t>01627422</t>
  </si>
  <si>
    <t>Полуямский сельсовет</t>
  </si>
  <si>
    <t>01627433</t>
  </si>
  <si>
    <t>Ракитовский сельсовет</t>
  </si>
  <si>
    <t>01627444</t>
  </si>
  <si>
    <t>Немецкий Национальный муниципальный район</t>
  </si>
  <si>
    <t>Гальбштадтский сельсовет</t>
  </si>
  <si>
    <t>01660420</t>
  </si>
  <si>
    <t>Гришковский сельсовет</t>
  </si>
  <si>
    <t>01660405</t>
  </si>
  <si>
    <t>Дегтярский сельсовет</t>
  </si>
  <si>
    <t>01660410</t>
  </si>
  <si>
    <t>Камышинский сельсовет</t>
  </si>
  <si>
    <t>01660415</t>
  </si>
  <si>
    <t>Кусакский сельсовет</t>
  </si>
  <si>
    <t>01660470</t>
  </si>
  <si>
    <t>01660000</t>
  </si>
  <si>
    <t>01660425</t>
  </si>
  <si>
    <t>Орловский сельсовет</t>
  </si>
  <si>
    <t>01660430</t>
  </si>
  <si>
    <t>Подсосновский сельсовет</t>
  </si>
  <si>
    <t>01660435</t>
  </si>
  <si>
    <t>Полевской сельсовет</t>
  </si>
  <si>
    <t>01660440</t>
  </si>
  <si>
    <t>Протасовский сельсовет</t>
  </si>
  <si>
    <t>01660445</t>
  </si>
  <si>
    <t>Редкодубравский сельсовет</t>
  </si>
  <si>
    <t>01660450</t>
  </si>
  <si>
    <t>Шумановский сельсовет</t>
  </si>
  <si>
    <t>01660460</t>
  </si>
  <si>
    <t>Новичихинский муниципальный район</t>
  </si>
  <si>
    <t>Долговский сельсовет</t>
  </si>
  <si>
    <t>01628411</t>
  </si>
  <si>
    <t>Лобанихинский сельсовет</t>
  </si>
  <si>
    <t>01628422</t>
  </si>
  <si>
    <t>Мельниковский сельсовет</t>
  </si>
  <si>
    <t>01628433</t>
  </si>
  <si>
    <t>01628000</t>
  </si>
  <si>
    <t>Новичихинский сельсовет</t>
  </si>
  <si>
    <t>01628444</t>
  </si>
  <si>
    <t>Поломошенский сельсовет</t>
  </si>
  <si>
    <t>01628455</t>
  </si>
  <si>
    <t>01628466</t>
  </si>
  <si>
    <t>Токаревский сельсовет</t>
  </si>
  <si>
    <t>01628477</t>
  </si>
  <si>
    <t>Павловский муниципальный район</t>
  </si>
  <si>
    <t>Арбузовский сельсовет</t>
  </si>
  <si>
    <t>01630401</t>
  </si>
  <si>
    <t>01630403</t>
  </si>
  <si>
    <t>Елунинский сельсовет</t>
  </si>
  <si>
    <t>01630412</t>
  </si>
  <si>
    <t>01630432</t>
  </si>
  <si>
    <t>01630437</t>
  </si>
  <si>
    <t>01630449</t>
  </si>
  <si>
    <t>Новозоринский сельсовет</t>
  </si>
  <si>
    <t>01630455</t>
  </si>
  <si>
    <t>01630000</t>
  </si>
  <si>
    <t>Павловский сельсовет</t>
  </si>
  <si>
    <t>01630460</t>
  </si>
  <si>
    <t>Павлозаводской сельсовет</t>
  </si>
  <si>
    <t>01630462</t>
  </si>
  <si>
    <t>Прутской сельсовет</t>
  </si>
  <si>
    <t>01630464</t>
  </si>
  <si>
    <t>Рогозихинский сельсовет</t>
  </si>
  <si>
    <t>01630466</t>
  </si>
  <si>
    <t>Стуковский сельсовет</t>
  </si>
  <si>
    <t>01630473</t>
  </si>
  <si>
    <t>Черемновский сельсовет</t>
  </si>
  <si>
    <t>01630482</t>
  </si>
  <si>
    <t>Чернопятовский сельсовет</t>
  </si>
  <si>
    <t>01630485</t>
  </si>
  <si>
    <t>Шаховский сельсовет</t>
  </si>
  <si>
    <t>01630490</t>
  </si>
  <si>
    <t>Панкрушихинский муниципальный район</t>
  </si>
  <si>
    <t>Велижанский сельсовет</t>
  </si>
  <si>
    <t>01631411</t>
  </si>
  <si>
    <t>Железнодорожный сельсовет</t>
  </si>
  <si>
    <t>01631417</t>
  </si>
  <si>
    <t>Зятьковский сельсовет</t>
  </si>
  <si>
    <t>01631422</t>
  </si>
  <si>
    <t>Кривинский сельсовет</t>
  </si>
  <si>
    <t>01631433</t>
  </si>
  <si>
    <t>Луковский сельсовет</t>
  </si>
  <si>
    <t>01631444</t>
  </si>
  <si>
    <t>01631000</t>
  </si>
  <si>
    <t>Панкрушихинский сельсовет</t>
  </si>
  <si>
    <t>01631456</t>
  </si>
  <si>
    <t>Подойниковский сельсовет</t>
  </si>
  <si>
    <t>01631467</t>
  </si>
  <si>
    <t>Романовский сельсовет</t>
  </si>
  <si>
    <t>01631478</t>
  </si>
  <si>
    <t>Урываевский сельсовет</t>
  </si>
  <si>
    <t>01631489</t>
  </si>
  <si>
    <t>Первомайский муниципальный район</t>
  </si>
  <si>
    <t>Акуловский сельсовет</t>
  </si>
  <si>
    <t>01632406</t>
  </si>
  <si>
    <t>Баюновоключевский сельсовет</t>
  </si>
  <si>
    <t>01632412</t>
  </si>
  <si>
    <t>01632416</t>
  </si>
  <si>
    <t>Бобровский сельсовет</t>
  </si>
  <si>
    <t>01632420</t>
  </si>
  <si>
    <t>Боровихинский сельсовет</t>
  </si>
  <si>
    <t>01632422</t>
  </si>
  <si>
    <t>Жилинский сельсовет</t>
  </si>
  <si>
    <t>01632425</t>
  </si>
  <si>
    <t>Журавлихинский сельсовет</t>
  </si>
  <si>
    <t>01632430</t>
  </si>
  <si>
    <t>Зудиловский сельсовет</t>
  </si>
  <si>
    <t>01632434</t>
  </si>
  <si>
    <t>Логовской сельсовет</t>
  </si>
  <si>
    <t>01632442</t>
  </si>
  <si>
    <t>Новоберезовский сельсовет</t>
  </si>
  <si>
    <t>01632445</t>
  </si>
  <si>
    <t>01632000</t>
  </si>
  <si>
    <t>01632449</t>
  </si>
  <si>
    <t>Повалихинский сельсовет</t>
  </si>
  <si>
    <t>01632454</t>
  </si>
  <si>
    <t>Рассказихинский сельсовет</t>
  </si>
  <si>
    <t>01632461</t>
  </si>
  <si>
    <t>Санниковский сельсовет</t>
  </si>
  <si>
    <t>01632472</t>
  </si>
  <si>
    <t>Северный сельсовет</t>
  </si>
  <si>
    <t>01632483</t>
  </si>
  <si>
    <t>Сибирский сельсовет</t>
  </si>
  <si>
    <t>01632494</t>
  </si>
  <si>
    <t>Солнечный сельсовет</t>
  </si>
  <si>
    <t>01632496</t>
  </si>
  <si>
    <t>Сорочелоговской сельсовет</t>
  </si>
  <si>
    <t>01632497</t>
  </si>
  <si>
    <t>Петропавловский муниципальный район</t>
  </si>
  <si>
    <t>01633405</t>
  </si>
  <si>
    <t>Антоньевский сельсовет</t>
  </si>
  <si>
    <t>01633407</t>
  </si>
  <si>
    <t>Зеленодольский сельсовет</t>
  </si>
  <si>
    <t>01633414</t>
  </si>
  <si>
    <t>01633423</t>
  </si>
  <si>
    <t>01633434</t>
  </si>
  <si>
    <t>Новообинский сельсовет</t>
  </si>
  <si>
    <t>01633440</t>
  </si>
  <si>
    <t>Паутовский сельсовет</t>
  </si>
  <si>
    <t>01633446</t>
  </si>
  <si>
    <t>01633000</t>
  </si>
  <si>
    <t>Петропавловский сельсовет</t>
  </si>
  <si>
    <t>01633457</t>
  </si>
  <si>
    <t>Соловьихинский сельсовет</t>
  </si>
  <si>
    <t>01633479</t>
  </si>
  <si>
    <t>Поспелихинский муниципальный район</t>
  </si>
  <si>
    <t>12 лет Октября сельсовет</t>
  </si>
  <si>
    <t>01634422</t>
  </si>
  <si>
    <t>Борковский сельсовет</t>
  </si>
  <si>
    <t>01634408</t>
  </si>
  <si>
    <t>Калмыцко-Мысовской сельсовет</t>
  </si>
  <si>
    <t>01634433</t>
  </si>
  <si>
    <t>Клепечихинский сельсовет</t>
  </si>
  <si>
    <t>01634439</t>
  </si>
  <si>
    <t>Красноалтайский сельсовет</t>
  </si>
  <si>
    <t>01634445</t>
  </si>
  <si>
    <t>Красноярский сельсовет</t>
  </si>
  <si>
    <t>01634450</t>
  </si>
  <si>
    <t>01634467</t>
  </si>
  <si>
    <t>01634478</t>
  </si>
  <si>
    <t>Озимовский сельсовет</t>
  </si>
  <si>
    <t>01634482</t>
  </si>
  <si>
    <t>Поспелихинский Центральный сельсовет</t>
  </si>
  <si>
    <t>01634495</t>
  </si>
  <si>
    <t>01634000</t>
  </si>
  <si>
    <t>Поспелихинский сельсовет</t>
  </si>
  <si>
    <t>01634489</t>
  </si>
  <si>
    <t>Ребрихинский муниципальный район</t>
  </si>
  <si>
    <t>01635407</t>
  </si>
  <si>
    <t>Боровлянский сельсовет</t>
  </si>
  <si>
    <t>01635412</t>
  </si>
  <si>
    <t>Воронихинский сельсовет</t>
  </si>
  <si>
    <t>01635419</t>
  </si>
  <si>
    <t>Зеленорощинский сельсовет</t>
  </si>
  <si>
    <t>01635430</t>
  </si>
  <si>
    <t>Зиминский сельсовет</t>
  </si>
  <si>
    <t>01635436</t>
  </si>
  <si>
    <t>Клочковский сельсовет</t>
  </si>
  <si>
    <t>01635442</t>
  </si>
  <si>
    <t>Пановский сельсовет</t>
  </si>
  <si>
    <t>01635456</t>
  </si>
  <si>
    <t>Плоскосеминский сельсовет</t>
  </si>
  <si>
    <t>01635458</t>
  </si>
  <si>
    <t>Подстепновский сельсовет</t>
  </si>
  <si>
    <t>01635459</t>
  </si>
  <si>
    <t>01635000</t>
  </si>
  <si>
    <t>Ребрихинский сельсовет</t>
  </si>
  <si>
    <t>01635464</t>
  </si>
  <si>
    <t>Рожне-Логовской сельсовет</t>
  </si>
  <si>
    <t>01635470</t>
  </si>
  <si>
    <t>Станционно-Ребрихинский сельсовет</t>
  </si>
  <si>
    <t>01635476</t>
  </si>
  <si>
    <t>Усть-Мосихинский сельсовет</t>
  </si>
  <si>
    <t>01635479</t>
  </si>
  <si>
    <t>Родинский муниципальный район</t>
  </si>
  <si>
    <t>Зелёнолуговской сельсовет</t>
  </si>
  <si>
    <t>01636410</t>
  </si>
  <si>
    <t>Каяушинский сельсовет</t>
  </si>
  <si>
    <t>01636422</t>
  </si>
  <si>
    <t>Кочкинский сельсовет</t>
  </si>
  <si>
    <t>01636428</t>
  </si>
  <si>
    <t>Мирненский сельсовет</t>
  </si>
  <si>
    <t>01636434</t>
  </si>
  <si>
    <t>01636445</t>
  </si>
  <si>
    <t>Раздольненский сельсовет</t>
  </si>
  <si>
    <t>01636451</t>
  </si>
  <si>
    <t>01636000</t>
  </si>
  <si>
    <t>Родинский сельсовет</t>
  </si>
  <si>
    <t>01636456</t>
  </si>
  <si>
    <t>Степно-Кучукский сельсовет</t>
  </si>
  <si>
    <t>01636472</t>
  </si>
  <si>
    <t>Степновский сельсовет</t>
  </si>
  <si>
    <t>01636468</t>
  </si>
  <si>
    <t>Центральный сельсовет</t>
  </si>
  <si>
    <t>01636480</t>
  </si>
  <si>
    <t>Шаталовский сельсовет</t>
  </si>
  <si>
    <t>01636474</t>
  </si>
  <si>
    <t>Ярослав-Логовской сельсовет</t>
  </si>
  <si>
    <t>01636491</t>
  </si>
  <si>
    <t>Романовский муниципальный район</t>
  </si>
  <si>
    <t>Гилёв-Логовской сельсовет</t>
  </si>
  <si>
    <t>01637407</t>
  </si>
  <si>
    <t>Грано-Маяковский сельсовет</t>
  </si>
  <si>
    <t>01637412</t>
  </si>
  <si>
    <t>Гуселетовский сельсовет</t>
  </si>
  <si>
    <t>01637417</t>
  </si>
  <si>
    <t>Дубровинский сельсовет</t>
  </si>
  <si>
    <t>01637422</t>
  </si>
  <si>
    <t>Закладинский сельсовет</t>
  </si>
  <si>
    <t>01637435</t>
  </si>
  <si>
    <t>01637440</t>
  </si>
  <si>
    <t>Майский сельсовет</t>
  </si>
  <si>
    <t>01637446</t>
  </si>
  <si>
    <t>Мормышанский сельсовет</t>
  </si>
  <si>
    <t>01637457</t>
  </si>
  <si>
    <t>Рассветовский сельсовет</t>
  </si>
  <si>
    <t>01637466</t>
  </si>
  <si>
    <t>01637000</t>
  </si>
  <si>
    <t>01637468</t>
  </si>
  <si>
    <t>Сидоровский сельсовет</t>
  </si>
  <si>
    <t>01637479</t>
  </si>
  <si>
    <t>Тамбовский сельсовет</t>
  </si>
  <si>
    <t>01637482</t>
  </si>
  <si>
    <t>Рубцовский муниципальный район</t>
  </si>
  <si>
    <t>Безрукавский сельсовет</t>
  </si>
  <si>
    <t>01638406</t>
  </si>
  <si>
    <t>Бобковский сельсовет</t>
  </si>
  <si>
    <t>01638412</t>
  </si>
  <si>
    <t>Большешелковниковский сельсовет</t>
  </si>
  <si>
    <t>01638415</t>
  </si>
  <si>
    <t>Веселоярский сельсовет</t>
  </si>
  <si>
    <t>01638418</t>
  </si>
  <si>
    <t>Вишневский сельсовет</t>
  </si>
  <si>
    <t>01638420</t>
  </si>
  <si>
    <t>Дальний сельсовет</t>
  </si>
  <si>
    <t>01638422</t>
  </si>
  <si>
    <t>Куйбышевский сельсовет</t>
  </si>
  <si>
    <t>01638425</t>
  </si>
  <si>
    <t>Новоалександровский сельсовет</t>
  </si>
  <si>
    <t>01638437</t>
  </si>
  <si>
    <t>Новониколаевский сельсовет</t>
  </si>
  <si>
    <t>01638440</t>
  </si>
  <si>
    <t>Новороссийский сельсовет</t>
  </si>
  <si>
    <t>01638444</t>
  </si>
  <si>
    <t>Новосклюихинский сельсовет</t>
  </si>
  <si>
    <t>01638447</t>
  </si>
  <si>
    <t>Половинкинский сельсовет</t>
  </si>
  <si>
    <t>01638451</t>
  </si>
  <si>
    <t>01638460</t>
  </si>
  <si>
    <t>01638000</t>
  </si>
  <si>
    <t>Рубцовский сельсовет</t>
  </si>
  <si>
    <t>01638462</t>
  </si>
  <si>
    <t>01638465</t>
  </si>
  <si>
    <t>Саратовский сельсовет</t>
  </si>
  <si>
    <t>01638467</t>
  </si>
  <si>
    <t>Тишинский сельсовет</t>
  </si>
  <si>
    <t>01638471</t>
  </si>
  <si>
    <t>Смоленский муниципальный район</t>
  </si>
  <si>
    <t>Ануйский сельсовет</t>
  </si>
  <si>
    <t>01640405</t>
  </si>
  <si>
    <t>Верх-Обский сельсовет</t>
  </si>
  <si>
    <t>01640412</t>
  </si>
  <si>
    <t>01640423</t>
  </si>
  <si>
    <t>Линевский сельсовет</t>
  </si>
  <si>
    <t>01640434</t>
  </si>
  <si>
    <t>Новотырышкинский сельсовет</t>
  </si>
  <si>
    <t>01640445</t>
  </si>
  <si>
    <t>01640000</t>
  </si>
  <si>
    <t>Смоленский сельсовет</t>
  </si>
  <si>
    <t>01640456</t>
  </si>
  <si>
    <t>01640460</t>
  </si>
  <si>
    <t>Сычевский сельсовет</t>
  </si>
  <si>
    <t>01640466</t>
  </si>
  <si>
    <t>Точилинский сельсовет</t>
  </si>
  <si>
    <t>01640479</t>
  </si>
  <si>
    <t>Советский муниципальный район</t>
  </si>
  <si>
    <t>Кокшинский сельсовет</t>
  </si>
  <si>
    <t>01642411</t>
  </si>
  <si>
    <t>Коловский сельсовет</t>
  </si>
  <si>
    <t>01642415</t>
  </si>
  <si>
    <t>01642420</t>
  </si>
  <si>
    <t>Никольский сельсовет</t>
  </si>
  <si>
    <t>01642429</t>
  </si>
  <si>
    <t>Платовский сельсовет</t>
  </si>
  <si>
    <t>01642435</t>
  </si>
  <si>
    <t>Половинский сельсовет</t>
  </si>
  <si>
    <t>01642440</t>
  </si>
  <si>
    <t>Сетовский сельсовет</t>
  </si>
  <si>
    <t>01642447</t>
  </si>
  <si>
    <t>01642000</t>
  </si>
  <si>
    <t>Советский сельсовет</t>
  </si>
  <si>
    <t>01642452</t>
  </si>
  <si>
    <t>Талицкий сельсовет</t>
  </si>
  <si>
    <t>01642457</t>
  </si>
  <si>
    <t>Урожайный сельсовет</t>
  </si>
  <si>
    <t>01642466</t>
  </si>
  <si>
    <t>Шульгин-Логский сельсовет</t>
  </si>
  <si>
    <t>01642471</t>
  </si>
  <si>
    <t>Шульгинский сельсовет</t>
  </si>
  <si>
    <t>01642472</t>
  </si>
  <si>
    <t>Солонешенский муниципальный район</t>
  </si>
  <si>
    <t>01643407</t>
  </si>
  <si>
    <t>01643423</t>
  </si>
  <si>
    <t>Лютаевский сельсовет</t>
  </si>
  <si>
    <t>01643434</t>
  </si>
  <si>
    <t>Сибирячихинский сельсовет</t>
  </si>
  <si>
    <t>01643445</t>
  </si>
  <si>
    <t>01643000</t>
  </si>
  <si>
    <t>Солонешенский сельсовет</t>
  </si>
  <si>
    <t>01643450</t>
  </si>
  <si>
    <t>Степной сельсовет</t>
  </si>
  <si>
    <t>01643457</t>
  </si>
  <si>
    <t>Тополинский сельсовет</t>
  </si>
  <si>
    <t>01643470</t>
  </si>
  <si>
    <t>01643481</t>
  </si>
  <si>
    <t>Солтонский муниципальный район</t>
  </si>
  <si>
    <t>Карабинский сельсовет</t>
  </si>
  <si>
    <t>01644424</t>
  </si>
  <si>
    <t>01644436</t>
  </si>
  <si>
    <t>Ненинский сельсовет</t>
  </si>
  <si>
    <t>01644447</t>
  </si>
  <si>
    <t>Нижнененинский сельсовет</t>
  </si>
  <si>
    <t>01644450</t>
  </si>
  <si>
    <t>01644000</t>
  </si>
  <si>
    <t>Солтонский сельсовет</t>
  </si>
  <si>
    <t>01644481</t>
  </si>
  <si>
    <t>Сузопский сельсовет</t>
  </si>
  <si>
    <t>01644492</t>
  </si>
  <si>
    <t>Суетский муниципальный район</t>
  </si>
  <si>
    <t>01641404</t>
  </si>
  <si>
    <t>Боронский сельсовет</t>
  </si>
  <si>
    <t>01641410</t>
  </si>
  <si>
    <t>Верх-Суетский сельсовет</t>
  </si>
  <si>
    <t>01641413</t>
  </si>
  <si>
    <t>Нижнесуетский сельсовет</t>
  </si>
  <si>
    <t>01641425</t>
  </si>
  <si>
    <t>01641000</t>
  </si>
  <si>
    <t>Табунский муниципальный район</t>
  </si>
  <si>
    <t>01646407</t>
  </si>
  <si>
    <t>Большеромановский сельсовет</t>
  </si>
  <si>
    <t>01646422</t>
  </si>
  <si>
    <t>Лебединский сельсовет</t>
  </si>
  <si>
    <t>01646440</t>
  </si>
  <si>
    <t>Серебропольский сельсовет</t>
  </si>
  <si>
    <t>01646455</t>
  </si>
  <si>
    <t>01646000</t>
  </si>
  <si>
    <t>Табунский сельсовет</t>
  </si>
  <si>
    <t>01646466</t>
  </si>
  <si>
    <t>Тальменский муниципальный район</t>
  </si>
  <si>
    <t>Анисимовский сельсовет</t>
  </si>
  <si>
    <t>01647406</t>
  </si>
  <si>
    <t>Зайцевский сельсовет</t>
  </si>
  <si>
    <t>01647415</t>
  </si>
  <si>
    <t>01647424</t>
  </si>
  <si>
    <t>Кашкарагаихинский сельсовет</t>
  </si>
  <si>
    <t>01647430</t>
  </si>
  <si>
    <t>Курочкинский сельсовет</t>
  </si>
  <si>
    <t>01647436</t>
  </si>
  <si>
    <t>Ларичихинский сельсовет</t>
  </si>
  <si>
    <t>01647442</t>
  </si>
  <si>
    <t>01647448</t>
  </si>
  <si>
    <t>Лушниковский сельсовет</t>
  </si>
  <si>
    <t>01647451</t>
  </si>
  <si>
    <t>Новоозерский сельсовет</t>
  </si>
  <si>
    <t>01647456</t>
  </si>
  <si>
    <t>Новоперуновский сельсовет</t>
  </si>
  <si>
    <t>01647459</t>
  </si>
  <si>
    <t>Новотроицкий сельсовет</t>
  </si>
  <si>
    <t>01647462</t>
  </si>
  <si>
    <t>Озерский сельсовет</t>
  </si>
  <si>
    <t>01647466</t>
  </si>
  <si>
    <t>Речкуновский сельсовет</t>
  </si>
  <si>
    <t>01647470</t>
  </si>
  <si>
    <t>Среднесибирский сельсовет</t>
  </si>
  <si>
    <t>01647473</t>
  </si>
  <si>
    <t>Староперуновский сельсовет</t>
  </si>
  <si>
    <t>01647475</t>
  </si>
  <si>
    <t>01647000</t>
  </si>
  <si>
    <t>Тальменский поссовет</t>
  </si>
  <si>
    <t>01647151</t>
  </si>
  <si>
    <t>Шадринцевский сельсовет</t>
  </si>
  <si>
    <t>01647482</t>
  </si>
  <si>
    <t>Шишкинский сельсовет</t>
  </si>
  <si>
    <t>01647492</t>
  </si>
  <si>
    <t>Тогульский муниципальный район</t>
  </si>
  <si>
    <t>Антипинский сельсовет</t>
  </si>
  <si>
    <t>01648406</t>
  </si>
  <si>
    <t>Новоиушинский сельсовет</t>
  </si>
  <si>
    <t>01648430</t>
  </si>
  <si>
    <t>Старотогульский сельсовет</t>
  </si>
  <si>
    <t>01648436</t>
  </si>
  <si>
    <t>01648000</t>
  </si>
  <si>
    <t>Тогульский сельсовет</t>
  </si>
  <si>
    <t>01648446</t>
  </si>
  <si>
    <t>Топтушинский сельсовет</t>
  </si>
  <si>
    <t>01648457</t>
  </si>
  <si>
    <t>Топчихинский муниципальный район</t>
  </si>
  <si>
    <t>Белояровский сельсовет</t>
  </si>
  <si>
    <t>01649403</t>
  </si>
  <si>
    <t>Володарский сельсовет</t>
  </si>
  <si>
    <t>01649407</t>
  </si>
  <si>
    <t>01649409</t>
  </si>
  <si>
    <t>01649412</t>
  </si>
  <si>
    <t>01649420</t>
  </si>
  <si>
    <t>01649424</t>
  </si>
  <si>
    <t>01649436</t>
  </si>
  <si>
    <t>Парфеновский сельсовет</t>
  </si>
  <si>
    <t>01649447</t>
  </si>
  <si>
    <t>Переясловский сельсовет</t>
  </si>
  <si>
    <t>01649450</t>
  </si>
  <si>
    <t>Победимский сельсовет</t>
  </si>
  <si>
    <t>01649452</t>
  </si>
  <si>
    <t>01649454</t>
  </si>
  <si>
    <t>01649460</t>
  </si>
  <si>
    <t>01649000</t>
  </si>
  <si>
    <t>Топчихинский сельсовет</t>
  </si>
  <si>
    <t>01649462</t>
  </si>
  <si>
    <t>Фунтиковский сельсовет</t>
  </si>
  <si>
    <t>01649469</t>
  </si>
  <si>
    <t>Хабазинский сельсовет</t>
  </si>
  <si>
    <t>01649475</t>
  </si>
  <si>
    <t>Чаузовский сельсовет</t>
  </si>
  <si>
    <t>01649480</t>
  </si>
  <si>
    <t>Чистюньский сельсовет</t>
  </si>
  <si>
    <t>01649491</t>
  </si>
  <si>
    <t>Третьяковский муниципальный район</t>
  </si>
  <si>
    <t>Екатерининский сельсовет</t>
  </si>
  <si>
    <t>01650411</t>
  </si>
  <si>
    <t>Корболихинский сельсовет</t>
  </si>
  <si>
    <t>01650422</t>
  </si>
  <si>
    <t>Новоалейский сельсовет</t>
  </si>
  <si>
    <t>01650433</t>
  </si>
  <si>
    <t>Первокаменский сельсовет</t>
  </si>
  <si>
    <t>01650444</t>
  </si>
  <si>
    <t>Плосковский сельсовет</t>
  </si>
  <si>
    <t>01650455</t>
  </si>
  <si>
    <t>Садовый сельсовет</t>
  </si>
  <si>
    <t>01650460</t>
  </si>
  <si>
    <t>Староалейский сельсовет</t>
  </si>
  <si>
    <t>01650466</t>
  </si>
  <si>
    <t>01650000</t>
  </si>
  <si>
    <t>Третьяковский сельсовет</t>
  </si>
  <si>
    <t>01650477</t>
  </si>
  <si>
    <t>Шипунихинский сельсовет</t>
  </si>
  <si>
    <t>01650488</t>
  </si>
  <si>
    <t>Троицкий муниципальный район</t>
  </si>
  <si>
    <t>01651408</t>
  </si>
  <si>
    <t>01651410</t>
  </si>
  <si>
    <t>Гордеевский сельсовет</t>
  </si>
  <si>
    <t>01651414</t>
  </si>
  <si>
    <t>Ереминский сельсовет</t>
  </si>
  <si>
    <t>01651425</t>
  </si>
  <si>
    <t>Заводской сельсовет</t>
  </si>
  <si>
    <t>01651430</t>
  </si>
  <si>
    <t>01651434</t>
  </si>
  <si>
    <t>Кипешинский сельсовет</t>
  </si>
  <si>
    <t>01651440</t>
  </si>
  <si>
    <t>Петровский сельсовет</t>
  </si>
  <si>
    <t>01651454</t>
  </si>
  <si>
    <t>01651000</t>
  </si>
  <si>
    <t>Троицкий сельсовет</t>
  </si>
  <si>
    <t>01651457</t>
  </si>
  <si>
    <t>Хайрюзовский сельсовет</t>
  </si>
  <si>
    <t>01651470</t>
  </si>
  <si>
    <t>Южаковский сельсовет</t>
  </si>
  <si>
    <t>01651492</t>
  </si>
  <si>
    <t>Тюменцевский муниципальный район</t>
  </si>
  <si>
    <t>Андроновский сельсовет</t>
  </si>
  <si>
    <t>01652403</t>
  </si>
  <si>
    <t>01652407</t>
  </si>
  <si>
    <t>Вылковский сельсовет</t>
  </si>
  <si>
    <t>01652416</t>
  </si>
  <si>
    <t>Грязновский сельсовет</t>
  </si>
  <si>
    <t>01652420</t>
  </si>
  <si>
    <t>01652425</t>
  </si>
  <si>
    <t>Ключевской сельсовет</t>
  </si>
  <si>
    <t>01652432</t>
  </si>
  <si>
    <t>Королевский сельсовет</t>
  </si>
  <si>
    <t>01652436</t>
  </si>
  <si>
    <t>Мезенцевский сельсовет</t>
  </si>
  <si>
    <t>01652450</t>
  </si>
  <si>
    <t>Новокарповский сельсовет</t>
  </si>
  <si>
    <t>01652452</t>
  </si>
  <si>
    <t>01652000</t>
  </si>
  <si>
    <t>Тюменцевский сельсовет</t>
  </si>
  <si>
    <t>01652458</t>
  </si>
  <si>
    <t>Урывский сельсовет</t>
  </si>
  <si>
    <t>01652461</t>
  </si>
  <si>
    <t>01652469</t>
  </si>
  <si>
    <t>Шарчинский сельсовет</t>
  </si>
  <si>
    <t>01652480</t>
  </si>
  <si>
    <t>Юдихинский сельсовет</t>
  </si>
  <si>
    <t>01652485</t>
  </si>
  <si>
    <t>Угловский муниципальный район</t>
  </si>
  <si>
    <t>Круглянский сельсовет</t>
  </si>
  <si>
    <t>01653411</t>
  </si>
  <si>
    <t>Лаптевский сельсовет</t>
  </si>
  <si>
    <t>01653422</t>
  </si>
  <si>
    <t>Озерно-Кузнецовский сельсовет</t>
  </si>
  <si>
    <t>01653455</t>
  </si>
  <si>
    <t>01653466</t>
  </si>
  <si>
    <t>Симоновский сельсовет</t>
  </si>
  <si>
    <t>01653477</t>
  </si>
  <si>
    <t>01653480</t>
  </si>
  <si>
    <t>01653000</t>
  </si>
  <si>
    <t>Угловский сельсовет</t>
  </si>
  <si>
    <t>01653488</t>
  </si>
  <si>
    <t>Усть-Калманский муниципальный район</t>
  </si>
  <si>
    <t>Кабановский сельсовет</t>
  </si>
  <si>
    <t>01654408</t>
  </si>
  <si>
    <t>01654411</t>
  </si>
  <si>
    <t>Новобурановский сельсовет</t>
  </si>
  <si>
    <t>01654422</t>
  </si>
  <si>
    <t>Новокалманский сельсовет</t>
  </si>
  <si>
    <t>01654433</t>
  </si>
  <si>
    <t>Огневский сельсовет</t>
  </si>
  <si>
    <t>01654444</t>
  </si>
  <si>
    <t>Пономаревский сельсовет</t>
  </si>
  <si>
    <t>01654446</t>
  </si>
  <si>
    <t>Приозёрный сельсовет</t>
  </si>
  <si>
    <t>01654448</t>
  </si>
  <si>
    <t>01654000</t>
  </si>
  <si>
    <t>Усть-Калманский сельсовет</t>
  </si>
  <si>
    <t>01654455</t>
  </si>
  <si>
    <t>Чарышский сельсовет</t>
  </si>
  <si>
    <t>01654466</t>
  </si>
  <si>
    <t>Усть-Пристанский муниципальный район</t>
  </si>
  <si>
    <t>01655408</t>
  </si>
  <si>
    <t>Брусенцевский сельсовет</t>
  </si>
  <si>
    <t>01655411</t>
  </si>
  <si>
    <t>Вяткинский сельсовет</t>
  </si>
  <si>
    <t>01655419</t>
  </si>
  <si>
    <t>Елбанский сельсовет</t>
  </si>
  <si>
    <t>01655423</t>
  </si>
  <si>
    <t>Клепиковский сельсовет</t>
  </si>
  <si>
    <t>01655434</t>
  </si>
  <si>
    <t>Коробейниковский сельсовет</t>
  </si>
  <si>
    <t>01655440</t>
  </si>
  <si>
    <t>Краснодарский сельсовет</t>
  </si>
  <si>
    <t>01655443</t>
  </si>
  <si>
    <t>01655446</t>
  </si>
  <si>
    <t>Нижнегусихинский сельсовет</t>
  </si>
  <si>
    <t>01655457</t>
  </si>
  <si>
    <t>Нижнеозернинский сельсовет</t>
  </si>
  <si>
    <t>01655460</t>
  </si>
  <si>
    <t>01655470</t>
  </si>
  <si>
    <t>01655000</t>
  </si>
  <si>
    <t>Усть-Пристанский сельсовет</t>
  </si>
  <si>
    <t>01655480</t>
  </si>
  <si>
    <t>Чеканихинский сельсовет</t>
  </si>
  <si>
    <t>01655491</t>
  </si>
  <si>
    <t>Хабарский муниципальный район</t>
  </si>
  <si>
    <t>Зятьково-Реченский сельсовет</t>
  </si>
  <si>
    <t>01656412</t>
  </si>
  <si>
    <t>Коротоякский сельсовет</t>
  </si>
  <si>
    <t>01656420</t>
  </si>
  <si>
    <t>Мартовский сельсовет</t>
  </si>
  <si>
    <t>01656430</t>
  </si>
  <si>
    <t>Мичуринский сельсовет</t>
  </si>
  <si>
    <t>01656435</t>
  </si>
  <si>
    <t>Новоильинский сельсовет</t>
  </si>
  <si>
    <t>01656446</t>
  </si>
  <si>
    <t>Плесо-Курьинский сельсовет</t>
  </si>
  <si>
    <t>01656460</t>
  </si>
  <si>
    <t>Свердловский сельсовет</t>
  </si>
  <si>
    <t>01656480</t>
  </si>
  <si>
    <t>01656486</t>
  </si>
  <si>
    <t>Утянский сельсовет</t>
  </si>
  <si>
    <t>01656490</t>
  </si>
  <si>
    <t>01656000</t>
  </si>
  <si>
    <t>Хабарский сельсовет</t>
  </si>
  <si>
    <t>01656493</t>
  </si>
  <si>
    <t>Целинный муниципальный район</t>
  </si>
  <si>
    <t>Бочкаревский сельсовет</t>
  </si>
  <si>
    <t>01657407</t>
  </si>
  <si>
    <t>Воеводский сельсовет</t>
  </si>
  <si>
    <t>01657412</t>
  </si>
  <si>
    <t>01657415</t>
  </si>
  <si>
    <t>Еландинский сельсовет</t>
  </si>
  <si>
    <t>01657420</t>
  </si>
  <si>
    <t>Ложкинский сельсовет</t>
  </si>
  <si>
    <t>01657430</t>
  </si>
  <si>
    <t>Марушинский сельсовет</t>
  </si>
  <si>
    <t>01657434</t>
  </si>
  <si>
    <t>Овсянниковский сельсовет</t>
  </si>
  <si>
    <t>01657445</t>
  </si>
  <si>
    <t>Степно-Чумышский сельсовет</t>
  </si>
  <si>
    <t>01657464</t>
  </si>
  <si>
    <t>Сухо-Чемровский сельсовет</t>
  </si>
  <si>
    <t>01657468</t>
  </si>
  <si>
    <t>Хомутинский сельсовет</t>
  </si>
  <si>
    <t>01657473</t>
  </si>
  <si>
    <t>01657000</t>
  </si>
  <si>
    <t>Целинный сельсовет</t>
  </si>
  <si>
    <t>01657479</t>
  </si>
  <si>
    <t>Шалапский сельсовет</t>
  </si>
  <si>
    <t>01657490</t>
  </si>
  <si>
    <t>Чарышский муниципальный район</t>
  </si>
  <si>
    <t>01658455</t>
  </si>
  <si>
    <t>01658411</t>
  </si>
  <si>
    <t>01658420</t>
  </si>
  <si>
    <t>Малобащелакский сельсовет</t>
  </si>
  <si>
    <t>01658422</t>
  </si>
  <si>
    <t>01658433</t>
  </si>
  <si>
    <t>Маякский сельсовет</t>
  </si>
  <si>
    <t>01658444</t>
  </si>
  <si>
    <t>Сентелекский сельсовет</t>
  </si>
  <si>
    <t>01658466</t>
  </si>
  <si>
    <t>Тулатинский сельсовет</t>
  </si>
  <si>
    <t>01658477</t>
  </si>
  <si>
    <t>01658000</t>
  </si>
  <si>
    <t>01658488</t>
  </si>
  <si>
    <t>Шелаболихинский муниципальный район</t>
  </si>
  <si>
    <t>Верх-Кучукский сельсовет</t>
  </si>
  <si>
    <t>01645410</t>
  </si>
  <si>
    <t>Ильинский сельсовет</t>
  </si>
  <si>
    <t>01645420</t>
  </si>
  <si>
    <t>Инской сельсовет</t>
  </si>
  <si>
    <t>01645423</t>
  </si>
  <si>
    <t>Кипринский сельсовет</t>
  </si>
  <si>
    <t>01645428</t>
  </si>
  <si>
    <t>Крутишинский сельсовет</t>
  </si>
  <si>
    <t>01645430</t>
  </si>
  <si>
    <t>Кучукский сельсовет</t>
  </si>
  <si>
    <t>01645433</t>
  </si>
  <si>
    <t>Макаровский сельсовет</t>
  </si>
  <si>
    <t>01645438</t>
  </si>
  <si>
    <t>Новообинцевский сельсовет</t>
  </si>
  <si>
    <t>01645442</t>
  </si>
  <si>
    <t>01645000</t>
  </si>
  <si>
    <t>Шелаболихинский сельсовет</t>
  </si>
  <si>
    <t>01645460</t>
  </si>
  <si>
    <t>Шипуновский муниципальный район</t>
  </si>
  <si>
    <t>Белоглазовский сельсовет</t>
  </si>
  <si>
    <t>01659409</t>
  </si>
  <si>
    <t>01659413</t>
  </si>
  <si>
    <t>Войковский сельсовет</t>
  </si>
  <si>
    <t>01659420</t>
  </si>
  <si>
    <t>Горьковский сельсовет</t>
  </si>
  <si>
    <t>01659426</t>
  </si>
  <si>
    <t>01659430</t>
  </si>
  <si>
    <t>Зеркальский сельсовет</t>
  </si>
  <si>
    <t>01659435</t>
  </si>
  <si>
    <t>01659439</t>
  </si>
  <si>
    <t>Комарихинский сельсовет</t>
  </si>
  <si>
    <t>01659442</t>
  </si>
  <si>
    <t>Краснояровский сельсовет</t>
  </si>
  <si>
    <t>01659446</t>
  </si>
  <si>
    <t>Нечунаевский сельсовет</t>
  </si>
  <si>
    <t>01659452</t>
  </si>
  <si>
    <t>01659462</t>
  </si>
  <si>
    <t>Порожненский сельсовет</t>
  </si>
  <si>
    <t>01659465</t>
  </si>
  <si>
    <t>01659470</t>
  </si>
  <si>
    <t>Российский сельсовет</t>
  </si>
  <si>
    <t>01659474</t>
  </si>
  <si>
    <t>Самсоновский сельсовет</t>
  </si>
  <si>
    <t>01659478</t>
  </si>
  <si>
    <t>Тугозвоновский сельсовет</t>
  </si>
  <si>
    <t>01659480</t>
  </si>
  <si>
    <t>Урлаповский сельсовет</t>
  </si>
  <si>
    <t>01659485</t>
  </si>
  <si>
    <t>Хлопуновский сельсовет</t>
  </si>
  <si>
    <t>01659490</t>
  </si>
  <si>
    <t>01659000</t>
  </si>
  <si>
    <t>Шипуновский сельсовет</t>
  </si>
  <si>
    <t>01659495</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</si>
  <si>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</si>
  <si>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</si>
  <si>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</si>
  <si>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</si>
  <si>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</si>
  <si>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</si>
  <si>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</si>
  <si>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</si>
  <si>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</si>
  <si>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</si>
  <si>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</si>
  <si>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</si>
  <si>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</si>
  <si>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</si>
  <si>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</si>
  <si>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</si>
  <si>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</si>
  <si>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</si>
  <si>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</si>
  <si>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</si>
  <si>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</si>
  <si>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</si>
  <si>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</si>
  <si>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</si>
  <si>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</si>
  <si>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</si>
  <si>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</si>
  <si>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</si>
  <si>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</si>
  <si>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</si>
  <si>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</si>
  <si>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</si>
  <si>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</si>
  <si>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</si>
  <si>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</si>
  <si>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</si>
  <si>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</si>
  <si>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</si>
  <si>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</si>
  <si>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</si>
  <si>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</si>
  <si>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</si>
  <si>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</si>
  <si>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</si>
  <si>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</si>
  <si>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</si>
  <si>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</si>
  <si>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</si>
  <si>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</si>
  <si>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</si>
  <si>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</si>
  <si>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</si>
  <si>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</si>
  <si>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</si>
  <si>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</si>
  <si>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</si>
  <si>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</si>
  <si>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</si>
  <si>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</si>
  <si>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</si>
  <si>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</si>
  <si>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</si>
  <si>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</si>
  <si>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</si>
  <si>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</si>
  <si>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</si>
  <si>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</si>
  <si>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</si>
  <si>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</si>
  <si>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</si>
  <si>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</si>
  <si>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</si>
  <si>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</si>
  <si>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</si>
  <si>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</si>
  <si>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</si>
  <si>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</si>
  <si>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</si>
  <si>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</si>
  <si>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</si>
  <si>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</si>
  <si>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</si>
  <si>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</si>
  <si>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</si>
  <si>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</si>
  <si>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</si>
  <si>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</si>
  <si>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</si>
  <si>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</si>
  <si>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</si>
  <si>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</si>
  <si>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</si>
  <si>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</si>
  <si>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</si>
  <si>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</si>
  <si>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</si>
  <si>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</si>
  <si>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</si>
  <si>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</si>
  <si>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</si>
  <si>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</si>
  <si>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</si>
  <si>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</si>
  <si>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</si>
  <si>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</si>
  <si>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</si>
  <si>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</si>
  <si>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</si>
  <si>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</si>
  <si>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</si>
  <si>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</si>
  <si>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</si>
  <si>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</si>
  <si>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</si>
  <si>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</si>
  <si>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</si>
  <si>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</si>
  <si>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</si>
  <si>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</si>
  <si>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</si>
  <si>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</si>
  <si>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</si>
  <si>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</si>
  <si>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</si>
  <si>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</si>
  <si>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</si>
  <si>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</si>
  <si>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</si>
  <si>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</si>
  <si>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</si>
  <si>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</si>
  <si>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</si>
  <si>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</si>
  <si>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</si>
  <si>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</si>
  <si>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</si>
  <si>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</si>
  <si>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</si>
  <si>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</si>
  <si>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</si>
  <si>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</si>
  <si>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</si>
  <si>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</si>
  <si>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</si>
  <si>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</si>
  <si>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</si>
  <si>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</si>
  <si>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</si>
  <si>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</si>
  <si>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</si>
  <si>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</si>
  <si>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</si>
  <si>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</si>
  <si>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</si>
  <si>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</si>
  <si>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</si>
  <si>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</si>
  <si>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</si>
  <si>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</si>
  <si>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</si>
  <si>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</si>
  <si>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</si>
  <si>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</si>
  <si>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</si>
  <si>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</si>
  <si>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</si>
  <si>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</si>
  <si>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</si>
  <si>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</si>
  <si>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</si>
  <si>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</si>
  <si>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</si>
  <si>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</si>
  <si>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</si>
  <si>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</si>
  <si>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</si>
  <si>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</si>
  <si>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</si>
  <si>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</si>
  <si>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</si>
  <si>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</si>
  <si>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</si>
  <si>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</si>
  <si>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</si>
  <si>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440031, г. Пенза, ул. Кривозерье, 24</t>
  </si>
  <si>
    <t>Наголюк Александр Сергеевич</t>
  </si>
  <si>
    <t>Рыбалко Дмитрий Владимирович</t>
  </si>
  <si>
    <t>Начальник отдела технологического присединения</t>
  </si>
  <si>
    <t>(8412) 67-94-16</t>
  </si>
  <si>
    <t>drybalko@gvkpenza.ru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</si>
</sst>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0"/>
    <numFmt numFmtId="165" formatCode="#,##0.000"/>
    <numFmt numFmtId="166" formatCode="#,##0.0000"/>
    <numFmt numFmtId="167" formatCode="dd\.mm\.yyyy"/>
  </numFmts>
  <fonts count="104">
    <font>
      <sz val="9"/>
      <color rgb="FF000000"/>
      <name val="Tahoma"/>
    </font>
    <font>
      <sz val="11"/>
      <color theme="1"/>
      <name val="Calibri"/>
      <scheme val="minor"/>
    </font>
    <font>
      <sz val="9"/>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0"/>
      <name val="Arial Cyr"/>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name val="Tahoma"/>
    </font>
    <font>
      <sz val="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u/>
      <sz val="9"/>
      <color rgb="FF00008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b/>
      <sz val="9"/>
      <name val="Tahoma"/>
      <family val="2"/>
      <charset val="204"/>
    </font>
    <font>
      <sz val="9"/>
      <name val="Tahoma"/>
      <family val="2"/>
      <charset val="204"/>
    </font>
    <font>
      <vertAlign val="superscript"/>
      <sz val="9"/>
      <name val="Tahoma"/>
      <family val="2"/>
      <charset val="204"/>
    </font>
    <font>
      <vertAlign val="superscript"/>
      <sz val="10"/>
      <name val="Tahoma"/>
      <family val="2"/>
      <charset val="204"/>
    </font>
    <font>
      <sz val="9"/>
      <color indexed="81"/>
      <name val="Tahoma"/>
      <family val="2"/>
    </font>
    <font>
      <sz val="9"/>
      <color indexed="81"/>
      <name val="Arial"/>
      <family val="2"/>
    </font>
  </fonts>
  <fills count="28">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6" tint="0.39997558519241921"/>
        <bgColor indexed="65"/>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68">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style="thin">
        <color theme="0" tint="-0.249977111117893"/>
      </right>
      <top style="thin">
        <color rgb="FFC0C0C0"/>
      </top>
      <bottom style="medium">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rgb="FFC0C0C0"/>
      </left>
      <right style="thin">
        <color rgb="FFC0C0C0"/>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right style="thin">
        <color rgb="FFBCBCBC"/>
      </right>
      <top style="thin">
        <color rgb="FFBCBCBC"/>
      </top>
      <bottom/>
      <diagonal/>
    </border>
    <border>
      <left/>
      <right style="thin">
        <color rgb="FFBCBCBC"/>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C0C0C0"/>
      </left>
      <right style="thin">
        <color rgb="FFC0C0C0"/>
      </right>
      <top style="thin">
        <color rgb="FFBCBCBC"/>
      </top>
      <bottom style="thin">
        <color rgb="FFBCBCBC"/>
      </bottom>
      <diagonal/>
    </border>
    <border>
      <left style="thin">
        <color rgb="FFBCBCBC"/>
      </left>
      <right/>
      <top style="thin">
        <color rgb="FFBCBCBC"/>
      </top>
      <bottom style="thin">
        <color rgb="FFC0C0C0"/>
      </bottom>
      <diagonal/>
    </border>
    <border>
      <left/>
      <right style="thin">
        <color rgb="FFC0C0C0"/>
      </right>
      <top style="thin">
        <color rgb="FFC0C0C0"/>
      </top>
      <bottom style="medium">
        <color rgb="FFC0C0C0"/>
      </bottom>
      <diagonal/>
    </border>
  </borders>
  <cellStyleXfs count="1">
    <xf numFmtId="49" fontId="0" fillId="0" borderId="0" applyFill="0" applyBorder="0">
      <alignment vertical="top"/>
    </xf>
  </cellStyleXfs>
  <cellXfs count="2422">
    <xf numFmtId="49" fontId="0" fillId="0" borderId="0" xfId="0" applyNumberFormat="1" applyFont="1">
      <alignment vertical="top"/>
    </xf>
    <xf numFmtId="49" fontId="0" fillId="0" borderId="0" xfId="0" applyNumberFormat="1" applyFont="1">
      <alignment vertical="top"/>
    </xf>
    <xf numFmtId="0" fontId="2" fillId="0" borderId="0" xfId="0" applyNumberFormat="1" applyFont="1" applyAlignment="1">
      <alignment vertical="top" wrapText="1"/>
    </xf>
    <xf numFmtId="49" fontId="0" fillId="0" borderId="0" xfId="0" applyNumberFormat="1" applyFont="1">
      <alignment vertical="top"/>
    </xf>
    <xf numFmtId="49" fontId="2" fillId="5" borderId="1" xfId="0" applyNumberFormat="1" applyFont="1" applyFill="1" applyBorder="1" applyAlignment="1">
      <alignment horizontal="center" vertical="top"/>
    </xf>
    <xf numFmtId="49" fontId="0" fillId="0" borderId="0" xfId="0" applyNumberFormat="1" applyFont="1">
      <alignment vertical="top"/>
    </xf>
    <xf numFmtId="0" fontId="2" fillId="6" borderId="0" xfId="0" applyNumberFormat="1" applyFont="1" applyFill="1" applyAlignment="1"/>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0" fontId="5" fillId="6" borderId="0" xfId="0" applyNumberFormat="1" applyFont="1" applyFill="1" applyAlignment="1">
      <alignment vertical="center" wrapText="1"/>
    </xf>
    <xf numFmtId="0" fontId="2" fillId="6" borderId="0" xfId="0" applyNumberFormat="1" applyFont="1" applyFill="1" applyAlignment="1">
      <alignment horizontal="right" vertical="center" wrapText="1" indent="1"/>
    </xf>
    <xf numFmtId="0" fontId="2" fillId="6" borderId="0" xfId="0" applyNumberFormat="1" applyFont="1" applyFill="1" applyAlignment="1">
      <alignment horizontal="center" vertical="center" wrapText="1"/>
    </xf>
    <xf numFmtId="0" fontId="4" fillId="0" borderId="0" xfId="0" applyNumberFormat="1" applyFont="1" applyAlignment="1">
      <alignment horizontal="center" vertical="center" wrapText="1"/>
    </xf>
    <xf numFmtId="0" fontId="6" fillId="6" borderId="0" xfId="0" applyNumberFormat="1" applyFont="1" applyFill="1" applyAlignment="1">
      <alignment horizontal="center" vertical="center" wrapText="1"/>
    </xf>
    <xf numFmtId="0" fontId="2" fillId="0" borderId="0" xfId="0" applyNumberFormat="1" applyFont="1" applyAlignment="1">
      <alignment vertical="center"/>
    </xf>
    <xf numFmtId="49" fontId="2" fillId="6" borderId="0" xfId="0" applyNumberFormat="1" applyFont="1" applyFill="1" applyAlignment="1">
      <alignment horizontal="right" vertical="center" wrapText="1" indent="1"/>
    </xf>
    <xf numFmtId="49" fontId="5" fillId="6" borderId="0" xfId="0" applyNumberFormat="1" applyFont="1" applyFill="1" applyAlignment="1">
      <alignment horizontal="center" vertical="center" wrapText="1"/>
    </xf>
    <xf numFmtId="0" fontId="2" fillId="0" borderId="0" xfId="0" applyNumberFormat="1" applyFont="1" applyAlignment="1">
      <alignment vertical="center" wrapText="1"/>
    </xf>
    <xf numFmtId="0" fontId="2" fillId="6" borderId="0" xfId="0" applyNumberFormat="1" applyFont="1" applyFill="1" applyAlignment="1">
      <alignment vertical="center" wrapText="1"/>
    </xf>
    <xf numFmtId="0" fontId="2" fillId="6" borderId="0" xfId="0" applyNumberFormat="1" applyFont="1" applyFill="1" applyAlignment="1">
      <alignment horizontal="right" vertical="center" wrapText="1"/>
    </xf>
    <xf numFmtId="49" fontId="0" fillId="6" borderId="0" xfId="0" applyNumberFormat="1" applyFont="1" applyFill="1" applyAlignment="1">
      <alignment horizontal="right" vertical="center" wrapText="1" indent="1"/>
    </xf>
    <xf numFmtId="49" fontId="7" fillId="6"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8"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xf>
    <xf numFmtId="49" fontId="9" fillId="0" borderId="2" xfId="0" applyNumberFormat="1" applyFont="1" applyBorder="1" applyAlignment="1">
      <alignment vertical="top" wrapText="1"/>
    </xf>
    <xf numFmtId="0" fontId="0" fillId="0" borderId="2" xfId="0" applyNumberFormat="1" applyFont="1" applyBorder="1" applyAlignment="1">
      <alignment vertical="top" wrapText="1"/>
    </xf>
    <xf numFmtId="0" fontId="10" fillId="0" borderId="0" xfId="0" applyNumberFormat="1" applyFont="1" applyAlignment="1"/>
    <xf numFmtId="0" fontId="2" fillId="6" borderId="0" xfId="0" applyNumberFormat="1" applyFont="1" applyFill="1" applyAlignment="1">
      <alignment horizontal="center" vertical="center" wrapText="1"/>
    </xf>
    <xf numFmtId="0" fontId="11" fillId="6" borderId="0" xfId="0" applyNumberFormat="1" applyFont="1" applyFill="1" applyAlignment="1">
      <alignment vertical="center" wrapText="1"/>
    </xf>
    <xf numFmtId="0" fontId="3" fillId="0" borderId="0" xfId="0" applyNumberFormat="1" applyFont="1" applyAlignment="1">
      <alignment horizontal="left" vertical="center" wrapText="1"/>
    </xf>
    <xf numFmtId="49" fontId="3" fillId="0" borderId="0" xfId="0" applyNumberFormat="1" applyFont="1" applyAlignment="1">
      <alignment horizontal="left" vertical="center" wrapText="1"/>
    </xf>
    <xf numFmtId="0" fontId="0" fillId="0" borderId="0" xfId="0" applyNumberFormat="1" applyFont="1">
      <alignment vertical="top"/>
    </xf>
    <xf numFmtId="49" fontId="2" fillId="0" borderId="0" xfId="0" applyNumberFormat="1" applyFont="1">
      <alignment vertical="top"/>
    </xf>
    <xf numFmtId="0" fontId="2" fillId="0" borderId="0" xfId="0" applyNumberFormat="1" applyFont="1" applyAlignment="1">
      <alignment vertical="center" wrapText="1"/>
    </xf>
    <xf numFmtId="0" fontId="2" fillId="6" borderId="3" xfId="0" applyNumberFormat="1" applyFont="1" applyFill="1" applyBorder="1" applyAlignment="1">
      <alignment horizontal="center" vertical="center" wrapText="1"/>
    </xf>
    <xf numFmtId="49" fontId="2" fillId="7" borderId="3" xfId="0" applyNumberFormat="1" applyFont="1" applyFill="1" applyBorder="1" applyAlignment="1" applyProtection="1">
      <alignment horizontal="left" vertical="center" wrapText="1"/>
      <protection locked="0"/>
    </xf>
    <xf numFmtId="49" fontId="12" fillId="8"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2" fillId="8" borderId="5" xfId="0" applyNumberFormat="1" applyFont="1" applyFill="1" applyBorder="1" applyAlignment="1">
      <alignment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center" vertical="center"/>
    </xf>
    <xf numFmtId="49" fontId="2" fillId="7" borderId="3" xfId="0" applyNumberFormat="1" applyFont="1" applyFill="1" applyBorder="1" applyAlignment="1" applyProtection="1">
      <alignment horizontal="left" vertical="center" wrapText="1"/>
      <protection locked="0"/>
    </xf>
    <xf numFmtId="0" fontId="3" fillId="0" borderId="0" xfId="0" applyNumberFormat="1" applyFont="1" applyAlignment="1">
      <alignment vertical="center" wrapText="1"/>
    </xf>
    <xf numFmtId="49" fontId="2" fillId="0" borderId="0" xfId="0" applyNumberFormat="1" applyFont="1">
      <alignment vertical="top"/>
    </xf>
    <xf numFmtId="49" fontId="8" fillId="0" borderId="0" xfId="0" applyNumberFormat="1" applyFont="1" applyAlignment="1">
      <alignment horizontal="center" vertical="center"/>
    </xf>
    <xf numFmtId="49" fontId="2" fillId="0" borderId="0" xfId="0" applyNumberFormat="1" applyFont="1">
      <alignment vertical="top"/>
    </xf>
    <xf numFmtId="0" fontId="2" fillId="6" borderId="0" xfId="0" applyNumberFormat="1" applyFont="1" applyFill="1" applyAlignment="1"/>
    <xf numFmtId="0" fontId="15" fillId="6" borderId="0" xfId="0" applyNumberFormat="1" applyFont="1" applyFill="1" applyAlignment="1">
      <alignment horizontal="center" vertical="center" wrapText="1"/>
    </xf>
    <xf numFmtId="0" fontId="3" fillId="6" borderId="0" xfId="0" applyNumberFormat="1" applyFont="1" applyFill="1" applyAlignment="1"/>
    <xf numFmtId="49" fontId="2" fillId="0" borderId="0" xfId="0" applyNumberFormat="1" applyFont="1">
      <alignment vertical="top"/>
    </xf>
    <xf numFmtId="49" fontId="8"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16" fillId="8" borderId="6" xfId="0" applyNumberFormat="1" applyFont="1" applyFill="1" applyBorder="1" applyAlignment="1">
      <alignment horizontal="center" vertical="top"/>
    </xf>
    <xf numFmtId="49" fontId="12" fillId="8" borderId="6" xfId="0" applyNumberFormat="1" applyFont="1" applyFill="1" applyBorder="1" applyAlignment="1">
      <alignment horizontal="left" vertical="center"/>
    </xf>
    <xf numFmtId="0" fontId="13" fillId="0" borderId="0" xfId="0" applyNumberFormat="1" applyFont="1" applyAlignment="1">
      <alignment vertical="center"/>
    </xf>
    <xf numFmtId="0" fontId="0"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49" fontId="17" fillId="0" borderId="0" xfId="0" applyNumberFormat="1" applyFont="1" applyAlignment="1">
      <alignment horizontal="right" vertical="top"/>
    </xf>
    <xf numFmtId="49" fontId="17" fillId="0" borderId="0" xfId="0" applyNumberFormat="1" applyFont="1">
      <alignment vertical="top"/>
    </xf>
    <xf numFmtId="0" fontId="2" fillId="0" borderId="0" xfId="0" applyNumberFormat="1" applyFont="1" applyAlignment="1">
      <alignment horizontal="center" vertical="center" wrapText="1"/>
    </xf>
    <xf numFmtId="0" fontId="0" fillId="0" borderId="0" xfId="0" applyNumberFormat="1" applyFont="1" applyAlignment="1">
      <alignment vertical="center"/>
    </xf>
    <xf numFmtId="0" fontId="18" fillId="0" borderId="0" xfId="0" applyNumberFormat="1" applyFont="1" applyAlignment="1">
      <alignment vertical="center" wrapText="1"/>
    </xf>
    <xf numFmtId="49" fontId="2" fillId="0" borderId="7" xfId="0" applyNumberFormat="1" applyFont="1" applyBorder="1">
      <alignment vertical="top"/>
    </xf>
    <xf numFmtId="49" fontId="19" fillId="0" borderId="0" xfId="0" applyNumberFormat="1" applyFont="1">
      <alignment vertical="top"/>
    </xf>
    <xf numFmtId="0" fontId="19" fillId="0" borderId="0" xfId="0" applyNumberFormat="1" applyFont="1" applyAlignment="1">
      <alignment vertical="center" wrapText="1"/>
    </xf>
    <xf numFmtId="49" fontId="0" fillId="6" borderId="3" xfId="0" applyNumberFormat="1" applyFont="1" applyFill="1" applyBorder="1" applyAlignment="1">
      <alignment horizontal="center" vertical="center" wrapText="1"/>
    </xf>
    <xf numFmtId="0" fontId="3" fillId="0" borderId="0" xfId="0" applyNumberFormat="1" applyFont="1" applyAlignment="1">
      <alignment horizontal="left" vertical="center" wrapText="1"/>
    </xf>
    <xf numFmtId="49" fontId="2" fillId="0" borderId="3" xfId="0" applyNumberFormat="1" applyFont="1" applyBorder="1" applyAlignment="1">
      <alignment horizontal="left" vertical="center" wrapText="1"/>
    </xf>
    <xf numFmtId="0" fontId="2" fillId="6" borderId="8" xfId="0" applyNumberFormat="1" applyFont="1" applyFill="1" applyBorder="1" applyAlignment="1">
      <alignment horizontal="center" vertical="center"/>
    </xf>
    <xf numFmtId="0" fontId="2" fillId="0" borderId="3" xfId="0" applyNumberFormat="1" applyFont="1" applyBorder="1" applyAlignment="1">
      <alignment vertical="center" wrapText="1"/>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top" wrapText="1"/>
    </xf>
    <xf numFmtId="49" fontId="2" fillId="0" borderId="3" xfId="0" applyNumberFormat="1" applyFont="1" applyBorder="1" applyAlignment="1">
      <alignment horizontal="center" vertical="center" wrapText="1"/>
    </xf>
    <xf numFmtId="0" fontId="18"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0" fillId="0" borderId="0" xfId="0" applyNumberFormat="1" applyFont="1" applyAlignment="1"/>
    <xf numFmtId="0" fontId="8"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4" fontId="2" fillId="0" borderId="0" xfId="0" applyNumberFormat="1" applyFont="1" applyAlignment="1">
      <alignment horizontal="right" vertical="center" wrapText="1"/>
    </xf>
    <xf numFmtId="0" fontId="2" fillId="0" borderId="0" xfId="0" applyNumberFormat="1" applyFont="1" applyAlignment="1">
      <alignment horizontal="left" vertical="center" wrapText="1" indent="1"/>
    </xf>
    <xf numFmtId="49" fontId="2" fillId="0" borderId="0" xfId="0" applyNumberFormat="1" applyFont="1">
      <alignment vertical="top"/>
    </xf>
    <xf numFmtId="4" fontId="2" fillId="0" borderId="0" xfId="0" applyNumberFormat="1" applyFont="1" applyAlignment="1">
      <alignment horizontal="center" vertical="center" wrapText="1"/>
    </xf>
    <xf numFmtId="0" fontId="19" fillId="0" borderId="0" xfId="0" applyNumberFormat="1" applyFont="1" applyAlignment="1">
      <alignment vertical="center"/>
    </xf>
    <xf numFmtId="164" fontId="2" fillId="0" borderId="3" xfId="0" applyNumberFormat="1" applyFont="1" applyBorder="1" applyAlignment="1">
      <alignment horizontal="center" vertical="center" wrapText="1"/>
    </xf>
    <xf numFmtId="49" fontId="19" fillId="8" borderId="10" xfId="0" applyNumberFormat="1" applyFont="1" applyFill="1" applyBorder="1" applyAlignment="1">
      <alignment horizontal="left" vertical="center" wrapText="1"/>
    </xf>
    <xf numFmtId="49" fontId="0" fillId="8" borderId="6" xfId="0" applyNumberFormat="1" applyFont="1" applyFill="1" applyBorder="1" applyAlignment="1">
      <alignment horizontal="left" vertical="center"/>
    </xf>
    <xf numFmtId="49" fontId="19" fillId="8" borderId="11" xfId="0" applyNumberFormat="1" applyFont="1" applyFill="1" applyBorder="1" applyAlignment="1">
      <alignment horizontal="left" vertical="center" wrapText="1"/>
    </xf>
    <xf numFmtId="0" fontId="7" fillId="0" borderId="0" xfId="0" applyNumberFormat="1" applyFont="1" applyAlignment="1">
      <alignment horizontal="center" vertical="center" wrapText="1"/>
    </xf>
    <xf numFmtId="49" fontId="22" fillId="8" borderId="6" xfId="0" applyNumberFormat="1" applyFont="1" applyFill="1" applyBorder="1" applyAlignment="1">
      <alignment horizontal="right" vertical="center" wrapText="1"/>
    </xf>
    <xf numFmtId="49" fontId="2" fillId="8" borderId="6" xfId="0" applyNumberFormat="1" applyFont="1" applyFill="1" applyBorder="1" applyAlignment="1">
      <alignment horizontal="right" vertical="center" wrapText="1"/>
    </xf>
    <xf numFmtId="49" fontId="2" fillId="8" borderId="4" xfId="0" applyNumberFormat="1" applyFont="1" applyFill="1" applyBorder="1" applyAlignment="1">
      <alignment horizontal="right" vertical="center" wrapText="1"/>
    </xf>
    <xf numFmtId="0" fontId="2" fillId="0" borderId="12" xfId="0" applyNumberFormat="1" applyFont="1" applyBorder="1" applyAlignment="1">
      <alignment vertical="center" wrapText="1"/>
    </xf>
    <xf numFmtId="0" fontId="17" fillId="0" borderId="0" xfId="0" applyNumberFormat="1" applyFont="1" applyAlignment="1">
      <alignment vertical="center" wrapText="1"/>
    </xf>
    <xf numFmtId="0" fontId="23" fillId="0" borderId="0" xfId="0" applyNumberFormat="1" applyFont="1" applyAlignment="1">
      <alignment horizontal="center" vertical="center" wrapText="1"/>
    </xf>
    <xf numFmtId="49" fontId="0" fillId="6" borderId="0" xfId="0" applyNumberFormat="1" applyFont="1" applyFill="1">
      <alignment vertical="top"/>
    </xf>
    <xf numFmtId="49" fontId="24" fillId="9" borderId="0" xfId="0" applyNumberFormat="1" applyFont="1" applyFill="1">
      <alignment vertical="top"/>
    </xf>
    <xf numFmtId="49" fontId="24" fillId="0" borderId="0" xfId="0" applyNumberFormat="1" applyFont="1">
      <alignment vertical="top"/>
    </xf>
    <xf numFmtId="0" fontId="19" fillId="0" borderId="0" xfId="0" applyNumberFormat="1" applyFont="1" applyAlignment="1">
      <alignment vertical="center"/>
    </xf>
    <xf numFmtId="49" fontId="0" fillId="8" borderId="6" xfId="0" applyNumberFormat="1" applyFont="1" applyFill="1" applyBorder="1" applyAlignment="1">
      <alignment horizontal="right" vertical="center" wrapText="1"/>
    </xf>
    <xf numFmtId="49" fontId="0" fillId="0" borderId="0" xfId="0" applyNumberFormat="1" applyFont="1">
      <alignment vertical="top"/>
    </xf>
    <xf numFmtId="0" fontId="22" fillId="0" borderId="2" xfId="0" applyNumberFormat="1" applyFont="1" applyBorder="1" applyAlignment="1">
      <alignment vertical="center" wrapText="1"/>
    </xf>
    <xf numFmtId="0" fontId="18" fillId="0" borderId="0" xfId="0" applyNumberFormat="1" applyFont="1" applyAlignment="1">
      <alignment vertical="top" wrapText="1"/>
    </xf>
    <xf numFmtId="0" fontId="2" fillId="0" borderId="2" xfId="0" applyNumberFormat="1" applyFont="1" applyBorder="1" applyAlignment="1">
      <alignment vertical="center" wrapText="1"/>
    </xf>
    <xf numFmtId="49" fontId="2" fillId="0" borderId="0" xfId="0" applyNumberFormat="1" applyFont="1">
      <alignment vertical="top"/>
    </xf>
    <xf numFmtId="0" fontId="2" fillId="6"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0" borderId="3" xfId="0" applyNumberFormat="1" applyFont="1" applyFill="1" applyBorder="1" applyAlignment="1" applyProtection="1">
      <alignment horizontal="left" vertical="center" wrapText="1" indent="2"/>
      <protection locked="0"/>
    </xf>
    <xf numFmtId="49" fontId="20"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0" borderId="3" xfId="0" applyNumberFormat="1" applyFont="1" applyFill="1" applyBorder="1" applyAlignment="1" applyProtection="1">
      <alignment horizontal="left" vertical="center" wrapText="1" indent="1"/>
      <protection locked="0"/>
    </xf>
    <xf numFmtId="49" fontId="12" fillId="8" borderId="6" xfId="0" applyNumberFormat="1" applyFont="1" applyFill="1" applyBorder="1" applyAlignment="1">
      <alignment horizontal="left" vertical="center" indent="3"/>
    </xf>
    <xf numFmtId="49" fontId="16" fillId="8" borderId="4" xfId="0" applyNumberFormat="1" applyFont="1" applyFill="1" applyBorder="1" applyAlignment="1">
      <alignment horizontal="center" vertical="top"/>
    </xf>
    <xf numFmtId="0" fontId="18" fillId="0" borderId="0" xfId="0" applyNumberFormat="1" applyFont="1" applyAlignment="1">
      <alignment horizontal="right" vertical="top"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vertical="top" wrapText="1"/>
    </xf>
    <xf numFmtId="0" fontId="8" fillId="0" borderId="0" xfId="0" applyNumberFormat="1" applyFont="1" applyAlignment="1">
      <alignment horizontal="center" vertical="center" wrapText="1"/>
    </xf>
    <xf numFmtId="49" fontId="0" fillId="0" borderId="8" xfId="0" applyNumberFormat="1" applyFont="1" applyBorder="1">
      <alignment vertical="top"/>
    </xf>
    <xf numFmtId="0" fontId="20" fillId="0" borderId="0" xfId="0" applyNumberFormat="1" applyFont="1" applyAlignment="1">
      <alignment vertical="center"/>
    </xf>
    <xf numFmtId="0" fontId="25" fillId="0" borderId="0" xfId="0" applyNumberFormat="1" applyFont="1" applyAlignment="1">
      <alignment vertical="center"/>
    </xf>
    <xf numFmtId="49" fontId="26" fillId="10" borderId="3" xfId="0" applyNumberFormat="1" applyFont="1" applyFill="1" applyBorder="1" applyAlignment="1" applyProtection="1">
      <alignment horizontal="left" vertical="center" wrapText="1"/>
      <protection locked="0"/>
    </xf>
    <xf numFmtId="49" fontId="16" fillId="8" borderId="4" xfId="0" applyNumberFormat="1" applyFont="1" applyFill="1" applyBorder="1" applyAlignment="1">
      <alignment horizontal="center" vertical="top"/>
    </xf>
    <xf numFmtId="0" fontId="0" fillId="5" borderId="3" xfId="0" applyNumberFormat="1" applyFont="1" applyFill="1" applyBorder="1" applyAlignment="1">
      <alignment horizontal="left" vertical="center" wrapText="1" indent="1"/>
    </xf>
    <xf numFmtId="49" fontId="2" fillId="10" borderId="3" xfId="0" applyNumberFormat="1" applyFont="1" applyFill="1" applyBorder="1" applyAlignment="1" applyProtection="1">
      <alignment horizontal="left" vertical="center" wrapText="1" indent="1"/>
      <protection locked="0"/>
    </xf>
    <xf numFmtId="49" fontId="2" fillId="0" borderId="3" xfId="0" applyNumberFormat="1" applyFont="1" applyBorder="1" applyAlignment="1">
      <alignment horizontal="left" vertical="center" wrapText="1" indent="1"/>
    </xf>
    <xf numFmtId="0" fontId="2" fillId="0" borderId="3" xfId="0" applyNumberFormat="1" applyFont="1" applyBorder="1" applyAlignment="1">
      <alignment horizontal="center" vertical="center" wrapText="1"/>
    </xf>
    <xf numFmtId="0" fontId="18" fillId="0" borderId="0" xfId="0" applyNumberFormat="1" applyFont="1" applyAlignment="1">
      <alignment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7" fillId="0" borderId="6" xfId="0" applyNumberFormat="1" applyFont="1" applyBorder="1" applyAlignment="1">
      <alignment horizontal="center" vertical="center" wrapText="1"/>
    </xf>
    <xf numFmtId="0" fontId="27" fillId="0" borderId="0" xfId="0" applyNumberFormat="1" applyFont="1" applyAlignment="1">
      <alignment vertical="center"/>
    </xf>
    <xf numFmtId="0" fontId="28"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horizontal="left" vertical="center" wrapText="1" indent="1"/>
    </xf>
    <xf numFmtId="0" fontId="1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1"/>
    </xf>
    <xf numFmtId="0" fontId="30" fillId="0" borderId="0" xfId="0" applyNumberFormat="1" applyFont="1" applyAlignment="1">
      <alignment horizontal="left" vertical="center" inden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33" fillId="6" borderId="0" xfId="0" applyNumberFormat="1" applyFont="1" applyFill="1" applyAlignment="1">
      <alignment horizontal="right" vertical="center" wrapText="1" indent="1"/>
    </xf>
    <xf numFmtId="0" fontId="35" fillId="6" borderId="0" xfId="0" applyNumberFormat="1" applyFont="1" applyFill="1" applyAlignment="1">
      <alignment horizontal="center" vertical="center" wrapText="1"/>
    </xf>
    <xf numFmtId="0" fontId="31" fillId="6" borderId="0" xfId="0" applyNumberFormat="1" applyFont="1" applyFill="1" applyAlignment="1">
      <alignment horizontal="center" vertical="center" wrapText="1"/>
    </xf>
    <xf numFmtId="0" fontId="33" fillId="6" borderId="0" xfId="0" applyNumberFormat="1" applyFont="1" applyFill="1" applyAlignment="1">
      <alignment horizontal="left" vertical="center" wrapText="1" indent="1"/>
    </xf>
    <xf numFmtId="0" fontId="36" fillId="0" borderId="0" xfId="0" applyNumberFormat="1" applyFont="1" applyAlignment="1">
      <alignment horizontal="left" vertical="center" wrapText="1"/>
    </xf>
    <xf numFmtId="0" fontId="36" fillId="0" borderId="0" xfId="0" applyNumberFormat="1" applyFont="1" applyAlignment="1">
      <alignment vertical="center" wrapText="1"/>
    </xf>
    <xf numFmtId="0" fontId="33" fillId="0" borderId="0" xfId="0" applyNumberFormat="1" applyFont="1" applyAlignment="1">
      <alignment vertical="center" wrapText="1"/>
    </xf>
    <xf numFmtId="0" fontId="33" fillId="0" borderId="0" xfId="0" applyNumberFormat="1" applyFont="1" applyAlignment="1">
      <alignment horizontal="right" vertical="center"/>
    </xf>
    <xf numFmtId="49" fontId="2" fillId="0" borderId="0" xfId="0" applyNumberFormat="1" applyFont="1" applyAlignment="1">
      <alignment vertical="center" wrapText="1"/>
    </xf>
    <xf numFmtId="0" fontId="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13" xfId="0" applyNumberFormat="1" applyFont="1" applyBorder="1" applyAlignment="1">
      <alignment vertical="center"/>
    </xf>
    <xf numFmtId="0" fontId="2"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2" fillId="0" borderId="0" xfId="0" applyNumberFormat="1" applyFont="1">
      <alignment vertical="top"/>
    </xf>
    <xf numFmtId="0" fontId="2" fillId="0" borderId="0" xfId="0" applyNumberFormat="1" applyFont="1" applyAlignment="1">
      <alignment horizontal="left" vertical="center" wrapText="1" indent="2"/>
    </xf>
    <xf numFmtId="0" fontId="2" fillId="0" borderId="3" xfId="0" applyNumberFormat="1" applyFont="1" applyBorder="1" applyAlignment="1">
      <alignment vertical="top" wrapText="1"/>
    </xf>
    <xf numFmtId="0" fontId="0" fillId="10" borderId="3" xfId="0" applyNumberFormat="1" applyFont="1" applyFill="1" applyBorder="1" applyAlignment="1" applyProtection="1">
      <alignment horizontal="left" vertical="center" wrapText="1"/>
      <protection locked="0"/>
    </xf>
    <xf numFmtId="0" fontId="2" fillId="0" borderId="3" xfId="0" applyNumberFormat="1" applyFont="1" applyBorder="1" applyAlignment="1">
      <alignment horizontal="left" vertical="top" wrapText="1"/>
    </xf>
    <xf numFmtId="0" fontId="2" fillId="0" borderId="3" xfId="0" applyNumberFormat="1" applyFont="1" applyBorder="1" applyAlignment="1">
      <alignment horizontal="left" vertical="center" wrapText="1"/>
    </xf>
    <xf numFmtId="0" fontId="2" fillId="0" borderId="3"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2" fillId="8" borderId="5" xfId="0" applyNumberFormat="1" applyFont="1" applyFill="1" applyBorder="1" applyAlignment="1">
      <alignment horizontal="center" vertical="center"/>
    </xf>
    <xf numFmtId="49" fontId="12" fillId="8" borderId="4" xfId="0" applyNumberFormat="1" applyFont="1" applyFill="1" applyBorder="1" applyAlignment="1">
      <alignment horizontal="left" vertical="center"/>
    </xf>
    <xf numFmtId="0" fontId="2" fillId="0" borderId="0" xfId="0" applyNumberFormat="1" applyFont="1" applyAlignment="1"/>
    <xf numFmtId="0" fontId="37" fillId="0" borderId="0" xfId="0" applyNumberFormat="1" applyFont="1" applyAlignment="1">
      <alignment vertical="center" wrapText="1"/>
    </xf>
    <xf numFmtId="0" fontId="37" fillId="0" borderId="0" xfId="0" applyNumberFormat="1" applyFont="1" applyAlignment="1">
      <alignment vertical="center" wrapText="1"/>
    </xf>
    <xf numFmtId="0" fontId="37" fillId="0" borderId="0" xfId="0" applyNumberFormat="1" applyFont="1" applyAlignment="1"/>
    <xf numFmtId="49" fontId="38" fillId="0" borderId="0" xfId="0" applyNumberFormat="1" applyFont="1">
      <alignment vertical="top"/>
    </xf>
    <xf numFmtId="49" fontId="39" fillId="0" borderId="0" xfId="0" applyNumberFormat="1" applyFont="1">
      <alignment vertical="top"/>
    </xf>
    <xf numFmtId="0" fontId="2" fillId="0" borderId="0" xfId="0" applyNumberFormat="1" applyFont="1" applyAlignment="1">
      <alignment horizontal="center" vertical="center" wrapText="1"/>
    </xf>
    <xf numFmtId="0" fontId="20" fillId="0" borderId="0" xfId="0" applyNumberFormat="1" applyFont="1">
      <alignment vertical="top"/>
    </xf>
    <xf numFmtId="49" fontId="20" fillId="0" borderId="0" xfId="0" applyNumberFormat="1" applyFont="1">
      <alignment vertical="top"/>
    </xf>
    <xf numFmtId="0" fontId="0" fillId="0" borderId="0" xfId="0" applyNumberFormat="1" applyFont="1">
      <alignment vertical="top"/>
    </xf>
    <xf numFmtId="49" fontId="2" fillId="0" borderId="3" xfId="0" applyNumberFormat="1" applyFont="1" applyBorder="1" applyAlignment="1">
      <alignment horizontal="right" vertical="center"/>
    </xf>
    <xf numFmtId="0" fontId="20" fillId="0" borderId="0" xfId="0" applyNumberFormat="1" applyFont="1" applyAlignment="1">
      <alignment vertical="center"/>
    </xf>
    <xf numFmtId="0" fontId="18" fillId="0" borderId="0" xfId="0" applyNumberFormat="1" applyFont="1" applyAlignment="1">
      <alignment horizontal="center" vertical="center" wrapText="1"/>
    </xf>
    <xf numFmtId="0" fontId="0" fillId="0" borderId="0" xfId="0" applyNumberFormat="1" applyFont="1" applyAlignment="1">
      <alignment horizontal="center" vertical="center"/>
    </xf>
    <xf numFmtId="0" fontId="20" fillId="0" borderId="0" xfId="0" applyNumberFormat="1" applyFont="1" applyAlignment="1">
      <alignment vertical="center" wrapText="1"/>
    </xf>
    <xf numFmtId="0" fontId="2" fillId="0" borderId="3" xfId="0" applyNumberFormat="1" applyFont="1" applyBorder="1" applyAlignment="1">
      <alignment horizontal="left" vertical="center" wrapText="1"/>
    </xf>
    <xf numFmtId="0" fontId="41" fillId="0" borderId="0" xfId="0" applyNumberFormat="1" applyFont="1" applyAlignment="1">
      <alignment vertical="center"/>
    </xf>
    <xf numFmtId="49" fontId="7"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4"/>
    </xf>
    <xf numFmtId="0" fontId="2" fillId="6" borderId="3" xfId="0" applyNumberFormat="1" applyFont="1" applyFill="1" applyBorder="1" applyAlignment="1">
      <alignment horizontal="left" vertical="center" wrapText="1" indent="5"/>
    </xf>
    <xf numFmtId="49" fontId="12" fillId="8" borderId="6" xfId="0" applyNumberFormat="1" applyFont="1" applyFill="1" applyBorder="1" applyAlignment="1">
      <alignment horizontal="left" vertical="center" indent="5"/>
    </xf>
    <xf numFmtId="49" fontId="12" fillId="8" borderId="6" xfId="0" applyNumberFormat="1" applyFont="1" applyFill="1" applyBorder="1" applyAlignment="1">
      <alignment horizontal="left" vertical="center" indent="6"/>
    </xf>
    <xf numFmtId="0" fontId="2" fillId="0" borderId="3" xfId="0" applyNumberFormat="1" applyFont="1" applyBorder="1" applyAlignment="1">
      <alignment vertical="center" wrapText="1"/>
    </xf>
    <xf numFmtId="0" fontId="18" fillId="0" borderId="0" xfId="0" applyNumberFormat="1" applyFont="1" applyAlignment="1">
      <alignment vertical="center" wrapText="1"/>
    </xf>
    <xf numFmtId="0" fontId="42" fillId="6" borderId="0" xfId="0" applyNumberFormat="1" applyFont="1" applyFill="1" applyAlignment="1">
      <alignment vertical="center" wrapText="1"/>
    </xf>
    <xf numFmtId="49" fontId="2" fillId="0" borderId="3" xfId="0" applyNumberFormat="1" applyFont="1" applyBorder="1" applyAlignment="1">
      <alignment horizontal="center" vertical="center" wrapText="1"/>
    </xf>
    <xf numFmtId="49" fontId="0" fillId="0" borderId="0" xfId="0" applyNumberFormat="1" applyFont="1">
      <alignment vertical="top"/>
    </xf>
    <xf numFmtId="49" fontId="12" fillId="8" borderId="5" xfId="0" applyNumberFormat="1" applyFont="1" applyFill="1" applyBorder="1" applyAlignment="1">
      <alignment horizontal="left" vertical="center" indent="1"/>
    </xf>
    <xf numFmtId="0" fontId="0" fillId="6"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2" fillId="0" borderId="3" xfId="0" applyNumberFormat="1" applyFont="1" applyBorder="1" applyAlignment="1">
      <alignment vertical="top" wrapText="1"/>
    </xf>
    <xf numFmtId="0" fontId="2" fillId="0" borderId="3" xfId="0" applyNumberFormat="1" applyFont="1" applyBorder="1" applyAlignment="1">
      <alignment vertical="center" wrapText="1"/>
    </xf>
    <xf numFmtId="0" fontId="40" fillId="0" borderId="0" xfId="0" applyNumberFormat="1" applyFont="1" applyAlignment="1">
      <alignment vertical="center"/>
    </xf>
    <xf numFmtId="0" fontId="2" fillId="0" borderId="3" xfId="0" applyNumberFormat="1" applyFont="1" applyBorder="1" applyAlignment="1">
      <alignment horizontal="left" vertical="center" wrapText="1" indent="6"/>
    </xf>
    <xf numFmtId="0" fontId="2" fillId="0" borderId="8" xfId="0" applyNumberFormat="1" applyFont="1" applyBorder="1" applyAlignment="1">
      <alignment vertical="center" wrapText="1"/>
    </xf>
    <xf numFmtId="0" fontId="2" fillId="0" borderId="14" xfId="0" applyNumberFormat="1" applyFont="1" applyBorder="1" applyAlignment="1">
      <alignment vertical="center" wrapText="1"/>
    </xf>
    <xf numFmtId="49" fontId="0" fillId="8"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165" fontId="0" fillId="10" borderId="3" xfId="0" applyNumberFormat="1" applyFont="1" applyFill="1" applyBorder="1" applyAlignment="1" applyProtection="1">
      <alignment horizontal="right" vertical="center"/>
      <protection locked="0"/>
    </xf>
    <xf numFmtId="0" fontId="0" fillId="6" borderId="5" xfId="0" applyNumberFormat="1" applyFont="1" applyFill="1" applyBorder="1" applyAlignment="1">
      <alignment horizontal="right" vertical="center" wrapText="1" indent="1"/>
    </xf>
    <xf numFmtId="49" fontId="3" fillId="0" borderId="0" xfId="0" applyNumberFormat="1" applyFont="1">
      <alignment vertical="top"/>
    </xf>
    <xf numFmtId="0" fontId="11" fillId="6" borderId="0" xfId="0" applyNumberFormat="1" applyFont="1" applyFill="1" applyAlignment="1">
      <alignment vertical="center" wrapText="1"/>
    </xf>
    <xf numFmtId="49" fontId="43" fillId="8" borderId="5" xfId="0" applyNumberFormat="1" applyFont="1" applyFill="1" applyBorder="1" applyAlignment="1">
      <alignment horizontal="center" vertical="center"/>
    </xf>
    <xf numFmtId="0" fontId="2" fillId="6" borderId="3" xfId="0" applyNumberFormat="1" applyFont="1" applyFill="1" applyBorder="1" applyAlignment="1">
      <alignment horizontal="left" vertical="center" wrapText="1" indent="1"/>
    </xf>
    <xf numFmtId="0" fontId="2" fillId="6" borderId="3" xfId="0" applyNumberFormat="1" applyFont="1" applyFill="1" applyBorder="1" applyAlignment="1">
      <alignment horizontal="left" vertical="center" wrapText="1" indent="2"/>
    </xf>
    <xf numFmtId="0" fontId="2" fillId="6" borderId="3" xfId="0" applyNumberFormat="1" applyFont="1" applyFill="1" applyBorder="1" applyAlignment="1">
      <alignment horizontal="left" vertical="center" wrapText="1" indent="3"/>
    </xf>
    <xf numFmtId="0" fontId="2" fillId="0" borderId="3" xfId="0" applyNumberFormat="1" applyFont="1" applyBorder="1" applyAlignment="1">
      <alignment horizontal="left" vertical="center" wrapText="1" indent="4"/>
    </xf>
    <xf numFmtId="49" fontId="12" fillId="8" borderId="5" xfId="0" applyNumberFormat="1" applyFont="1" applyFill="1" applyBorder="1" applyAlignment="1">
      <alignment vertical="center" wrapText="1"/>
    </xf>
    <xf numFmtId="49" fontId="12" fillId="8" borderId="6" xfId="0" applyNumberFormat="1" applyFont="1" applyFill="1" applyBorder="1" applyAlignment="1">
      <alignment vertical="center"/>
    </xf>
    <xf numFmtId="49" fontId="12" fillId="8" borderId="6" xfId="0" applyNumberFormat="1" applyFont="1" applyFill="1" applyBorder="1" applyAlignment="1">
      <alignment vertical="center" wrapText="1"/>
    </xf>
    <xf numFmtId="0" fontId="2" fillId="0" borderId="3" xfId="0" applyNumberFormat="1" applyFont="1" applyBorder="1" applyAlignment="1">
      <alignment vertical="center" wrapText="1"/>
    </xf>
    <xf numFmtId="49" fontId="2" fillId="0" borderId="3" xfId="0" applyNumberFormat="1" applyFont="1" applyBorder="1" applyAlignment="1">
      <alignment vertical="center" wrapText="1"/>
    </xf>
    <xf numFmtId="0" fontId="2" fillId="0" borderId="0" xfId="0" applyNumberFormat="1" applyFont="1" applyAlignment="1">
      <alignment vertical="top" wrapText="1"/>
    </xf>
    <xf numFmtId="49" fontId="12" fillId="8" borderId="5" xfId="0" applyNumberFormat="1" applyFont="1" applyFill="1" applyBorder="1" applyAlignment="1">
      <alignment horizontal="left" vertical="center"/>
    </xf>
    <xf numFmtId="49" fontId="0" fillId="0" borderId="3" xfId="0" applyNumberFormat="1" applyFont="1" applyBorder="1" applyAlignment="1">
      <alignment vertical="center" wrapText="1"/>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0" fillId="0" borderId="0" xfId="0" applyNumberFormat="1" applyFont="1" applyAlignment="1">
      <alignment horizontal="right" vertical="center" wrapText="1" indent="1"/>
    </xf>
    <xf numFmtId="0" fontId="22" fillId="6" borderId="0" xfId="0" applyNumberFormat="1" applyFont="1" applyFill="1" applyAlignment="1">
      <alignment horizontal="center" vertical="center" wrapText="1"/>
    </xf>
    <xf numFmtId="49" fontId="43" fillId="8" borderId="6" xfId="0" applyNumberFormat="1" applyFont="1" applyFill="1" applyBorder="1" applyAlignment="1">
      <alignment horizontal="left" vertical="center"/>
    </xf>
    <xf numFmtId="0" fontId="2" fillId="0" borderId="0" xfId="0" applyNumberFormat="1" applyFont="1" applyAlignment="1">
      <alignment vertical="center" wrapText="1"/>
    </xf>
    <xf numFmtId="49" fontId="2" fillId="8" borderId="4" xfId="0" applyNumberFormat="1" applyFont="1" applyFill="1" applyBorder="1" applyAlignment="1">
      <alignment horizontal="center" vertical="center" wrapText="1"/>
    </xf>
    <xf numFmtId="4" fontId="2" fillId="0" borderId="3" xfId="0" applyNumberFormat="1" applyFont="1" applyBorder="1" applyAlignment="1">
      <alignment horizontal="right" vertical="center" wrapText="1"/>
    </xf>
    <xf numFmtId="49" fontId="0" fillId="8" borderId="6" xfId="0" applyNumberFormat="1" applyFont="1" applyFill="1" applyBorder="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 fontId="20"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44" fillId="0" borderId="5" xfId="0" applyNumberFormat="1" applyFont="1" applyBorder="1" applyAlignment="1">
      <alignment horizontal="left" vertical="center" wrapText="1"/>
    </xf>
    <xf numFmtId="0" fontId="40" fillId="0" borderId="3" xfId="0" applyNumberFormat="1" applyFont="1" applyBorder="1" applyAlignment="1">
      <alignment horizontal="left" vertical="center" wrapText="1" indent="2"/>
    </xf>
    <xf numFmtId="49" fontId="40" fillId="0" borderId="3" xfId="0" applyNumberFormat="1" applyFont="1" applyBorder="1" applyAlignment="1">
      <alignment horizontal="center" vertical="center" wrapText="1"/>
    </xf>
    <xf numFmtId="0" fontId="45" fillId="0" borderId="0" xfId="0" applyNumberFormat="1" applyFont="1" applyAlignment="1">
      <alignment vertical="center" wrapText="1"/>
    </xf>
    <xf numFmtId="0" fontId="2" fillId="0" borderId="0" xfId="0" applyNumberFormat="1" applyFont="1">
      <alignment vertical="top"/>
    </xf>
    <xf numFmtId="0" fontId="2" fillId="0" borderId="0" xfId="0" applyNumberFormat="1" applyFont="1" applyAlignment="1">
      <alignment horizontal="right" vertical="top" wrapText="1"/>
    </xf>
    <xf numFmtId="0" fontId="2" fillId="0" borderId="8" xfId="0" applyNumberFormat="1" applyFont="1" applyBorder="1" applyAlignment="1">
      <alignment vertical="center" wrapText="1"/>
    </xf>
    <xf numFmtId="49" fontId="16" fillId="8" borderId="6" xfId="0" applyNumberFormat="1" applyFont="1" applyFill="1" applyBorder="1" applyAlignment="1">
      <alignment horizontal="center" vertical="top"/>
    </xf>
    <xf numFmtId="0" fontId="2"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2" fillId="0" borderId="8" xfId="0" applyNumberFormat="1" applyFont="1" applyBorder="1" applyAlignment="1">
      <alignment vertical="top" wrapText="1"/>
    </xf>
    <xf numFmtId="49" fontId="2" fillId="0" borderId="0" xfId="0" applyNumberFormat="1" applyFont="1">
      <alignment vertical="top"/>
    </xf>
    <xf numFmtId="0" fontId="11" fillId="0" borderId="0" xfId="0" applyNumberFormat="1" applyFont="1" applyAlignment="1">
      <alignment vertical="center" wrapText="1"/>
    </xf>
    <xf numFmtId="0" fontId="2" fillId="0" borderId="3" xfId="0" applyNumberFormat="1" applyFont="1" applyBorder="1" applyAlignment="1">
      <alignment vertical="center" wrapText="1"/>
    </xf>
    <xf numFmtId="49" fontId="2" fillId="0" borderId="0" xfId="0" applyNumberFormat="1" applyFont="1" applyAlignment="1">
      <alignment horizontal="center" vertical="center" wrapText="1"/>
    </xf>
    <xf numFmtId="0" fontId="2" fillId="8" borderId="5" xfId="0" applyNumberFormat="1" applyFont="1" applyFill="1" applyBorder="1" applyAlignment="1">
      <alignment vertical="center" wrapText="1"/>
    </xf>
    <xf numFmtId="0" fontId="2" fillId="10" borderId="3" xfId="0" applyNumberFormat="1" applyFont="1" applyFill="1" applyBorder="1" applyAlignment="1" applyProtection="1">
      <alignment horizontal="left" vertical="center" wrapText="1" indent="1"/>
      <protection locked="0"/>
    </xf>
    <xf numFmtId="49" fontId="12" fillId="8" borderId="6" xfId="0" applyNumberFormat="1" applyFont="1" applyFill="1" applyBorder="1" applyAlignment="1">
      <alignment horizontal="left" vertical="center" indent="2"/>
    </xf>
    <xf numFmtId="0" fontId="20" fillId="0" borderId="0" xfId="0" applyNumberFormat="1" applyFont="1" applyAlignment="1">
      <alignment vertical="center"/>
    </xf>
    <xf numFmtId="0" fontId="46" fillId="0" borderId="0" xfId="0" applyNumberFormat="1" applyFont="1" applyAlignment="1">
      <alignment vertical="center" wrapText="1"/>
    </xf>
    <xf numFmtId="0" fontId="14" fillId="6" borderId="0" xfId="0" applyNumberFormat="1" applyFont="1" applyFill="1" applyAlignment="1">
      <alignment horizontal="center" vertical="center" wrapText="1"/>
    </xf>
    <xf numFmtId="0" fontId="2" fillId="0" borderId="15" xfId="0" applyNumberFormat="1" applyFont="1" applyBorder="1" applyAlignment="1">
      <alignment vertical="center" wrapText="1"/>
    </xf>
    <xf numFmtId="0" fontId="8" fillId="0" borderId="0" xfId="0" applyNumberFormat="1" applyFont="1" applyAlignment="1">
      <alignment vertical="center" wrapText="1"/>
    </xf>
    <xf numFmtId="49" fontId="2" fillId="0" borderId="15" xfId="0" applyNumberFormat="1" applyFont="1" applyBorder="1">
      <alignment vertical="top"/>
    </xf>
    <xf numFmtId="0" fontId="20" fillId="0" borderId="15" xfId="0" applyNumberFormat="1" applyFont="1" applyBorder="1" applyAlignment="1">
      <alignment horizontal="center" vertical="center" wrapText="1"/>
    </xf>
    <xf numFmtId="0" fontId="20" fillId="0" borderId="15" xfId="0" applyNumberFormat="1" applyFont="1" applyBorder="1" applyAlignment="1">
      <alignment vertical="center" wrapText="1"/>
    </xf>
    <xf numFmtId="49" fontId="3" fillId="0" borderId="0" xfId="0" applyNumberFormat="1" applyFont="1">
      <alignment vertical="top"/>
    </xf>
    <xf numFmtId="49" fontId="0" fillId="0" borderId="15" xfId="0" applyNumberFormat="1" applyFont="1" applyBorder="1">
      <alignment vertical="top"/>
    </xf>
    <xf numFmtId="49" fontId="2" fillId="0" borderId="0" xfId="0" applyNumberFormat="1" applyFont="1">
      <alignment vertical="top"/>
    </xf>
    <xf numFmtId="49" fontId="2" fillId="0" borderId="0" xfId="0" applyNumberFormat="1" applyFont="1" applyAlignment="1">
      <alignment vertical="center" wrapText="1"/>
    </xf>
    <xf numFmtId="0" fontId="8"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49" fontId="12" fillId="8" borderId="6" xfId="0" applyNumberFormat="1" applyFont="1" applyFill="1" applyBorder="1" applyAlignment="1">
      <alignment horizontal="left" vertical="center" indent="2"/>
    </xf>
    <xf numFmtId="49" fontId="12" fillId="8" borderId="6" xfId="0" applyNumberFormat="1" applyFont="1" applyFill="1" applyBorder="1" applyAlignment="1">
      <alignment horizontal="left" vertical="center" indent="4"/>
    </xf>
    <xf numFmtId="49" fontId="2" fillId="0" borderId="0" xfId="0" applyNumberFormat="1" applyFont="1" applyAlignment="1">
      <alignment vertical="center"/>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20" fillId="0" borderId="0" xfId="0" applyNumberFormat="1" applyFont="1" applyAlignment="1">
      <alignment vertical="center"/>
    </xf>
    <xf numFmtId="0" fontId="2" fillId="0" borderId="0" xfId="0" applyNumberFormat="1" applyFont="1" applyAlignment="1">
      <alignment vertical="top" wrapText="1"/>
    </xf>
    <xf numFmtId="49" fontId="2" fillId="0" borderId="3" xfId="0" applyNumberFormat="1" applyFont="1" applyBorder="1" applyAlignment="1">
      <alignment horizontal="right" vertical="top"/>
    </xf>
    <xf numFmtId="49" fontId="2" fillId="0" borderId="8" xfId="0" applyNumberFormat="1" applyFont="1" applyBorder="1" applyAlignment="1">
      <alignment horizontal="right" vertical="top"/>
    </xf>
    <xf numFmtId="49" fontId="12" fillId="8" borderId="6" xfId="0" applyNumberFormat="1" applyFont="1" applyFill="1" applyBorder="1" applyAlignment="1">
      <alignment horizontal="left" vertical="center" indent="3"/>
    </xf>
    <xf numFmtId="49" fontId="0" fillId="0" borderId="0" xfId="0" applyNumberFormat="1" applyFont="1">
      <alignment vertical="top"/>
    </xf>
    <xf numFmtId="0" fontId="2" fillId="0" borderId="0" xfId="0" applyNumberFormat="1" applyFont="1" applyAlignment="1">
      <alignment vertical="center" wrapText="1"/>
    </xf>
    <xf numFmtId="49" fontId="3" fillId="0" borderId="0" xfId="0" applyNumberFormat="1" applyFont="1">
      <alignment vertical="top"/>
    </xf>
    <xf numFmtId="49" fontId="11" fillId="0" borderId="0" xfId="0" applyNumberFormat="1" applyFont="1">
      <alignment vertical="top"/>
    </xf>
    <xf numFmtId="0" fontId="11" fillId="6" borderId="0" xfId="0" applyNumberFormat="1" applyFont="1" applyFill="1" applyAlignment="1">
      <alignment vertical="center" wrapText="1"/>
    </xf>
    <xf numFmtId="49" fontId="2" fillId="0" borderId="0" xfId="0" applyNumberFormat="1" applyFont="1">
      <alignment vertical="top"/>
    </xf>
    <xf numFmtId="49" fontId="2" fillId="10" borderId="3" xfId="0" applyNumberFormat="1" applyFont="1" applyFill="1" applyBorder="1" applyAlignment="1" applyProtection="1">
      <alignment horizontal="left" vertical="center" wrapText="1" indent="4"/>
      <protection locked="0"/>
    </xf>
    <xf numFmtId="49" fontId="2" fillId="10"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0" fillId="0" borderId="0" xfId="0" applyNumberFormat="1" applyFont="1">
      <alignment vertical="top"/>
    </xf>
    <xf numFmtId="49" fontId="20" fillId="0" borderId="0" xfId="0" applyNumberFormat="1" applyFont="1" applyAlignment="1">
      <alignment vertical="center" wrapText="1"/>
    </xf>
    <xf numFmtId="49" fontId="20" fillId="0" borderId="0" xfId="0" applyNumberFormat="1" applyFont="1">
      <alignment vertical="top"/>
    </xf>
    <xf numFmtId="49" fontId="20" fillId="0" borderId="0" xfId="0" applyNumberFormat="1" applyFont="1" applyAlignment="1">
      <alignment vertical="center"/>
    </xf>
    <xf numFmtId="49" fontId="2" fillId="10" borderId="3" xfId="0" applyNumberFormat="1" applyFont="1" applyFill="1" applyBorder="1" applyAlignment="1" applyProtection="1">
      <alignment horizontal="left" vertical="center" wrapText="1"/>
      <protection locked="0"/>
    </xf>
    <xf numFmtId="49" fontId="26" fillId="10"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5" fontId="2" fillId="0" borderId="3" xfId="0" applyNumberFormat="1" applyFont="1" applyBorder="1" applyAlignment="1">
      <alignment horizontal="right" vertical="center" wrapText="1"/>
    </xf>
    <xf numFmtId="49" fontId="26" fillId="10" borderId="5"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2" fillId="6" borderId="0" xfId="0" applyNumberFormat="1" applyFont="1" applyFill="1" applyAlignment="1">
      <alignment horizontal="center" vertical="center" wrapText="1"/>
    </xf>
    <xf numFmtId="0" fontId="22" fillId="0" borderId="0" xfId="0" applyNumberFormat="1" applyFont="1" applyAlignment="1">
      <alignment vertical="top" wrapText="1"/>
    </xf>
    <xf numFmtId="0" fontId="2" fillId="6" borderId="17" xfId="0" applyNumberFormat="1" applyFont="1" applyFill="1" applyBorder="1" applyAlignment="1">
      <alignment horizontal="right" vertical="center" wrapText="1" indent="1"/>
    </xf>
    <xf numFmtId="0" fontId="0" fillId="6" borderId="17" xfId="0" applyNumberFormat="1" applyFont="1" applyFill="1" applyBorder="1" applyAlignment="1">
      <alignment horizontal="right" vertical="center" wrapText="1" indent="1"/>
    </xf>
    <xf numFmtId="0" fontId="2" fillId="0" borderId="0" xfId="0" applyNumberFormat="1" applyFont="1" applyAlignment="1">
      <alignment horizontal="left" vertical="center" wrapText="1" indent="4"/>
    </xf>
    <xf numFmtId="0" fontId="2" fillId="6" borderId="0" xfId="0" applyNumberFormat="1" applyFont="1" applyFill="1" applyAlignment="1">
      <alignment horizontal="center" vertical="center" wrapText="1"/>
    </xf>
    <xf numFmtId="49" fontId="12" fillId="8" borderId="6" xfId="0" applyNumberFormat="1" applyFont="1" applyFill="1" applyBorder="1" applyAlignment="1">
      <alignment horizontal="left" vertical="center"/>
    </xf>
    <xf numFmtId="0" fontId="2" fillId="0" borderId="10" xfId="0" applyNumberFormat="1" applyFont="1" applyBorder="1" applyAlignment="1">
      <alignment vertical="center" wrapText="1"/>
    </xf>
    <xf numFmtId="0" fontId="2" fillId="0" borderId="0" xfId="0" applyNumberFormat="1" applyFont="1" applyAlignment="1">
      <alignment horizontal="left" vertical="center" wrapText="1" indent="1"/>
    </xf>
    <xf numFmtId="0" fontId="45" fillId="0" borderId="0" xfId="0" applyNumberFormat="1" applyFont="1" applyAlignment="1">
      <alignment vertical="center" wrapText="1"/>
    </xf>
    <xf numFmtId="49" fontId="0" fillId="6" borderId="5" xfId="0" applyNumberFormat="1" applyFont="1" applyFill="1" applyBorder="1" applyAlignment="1">
      <alignment horizontal="center" vertical="center" wrapText="1"/>
    </xf>
    <xf numFmtId="49" fontId="12" fillId="8" borderId="18" xfId="0" applyNumberFormat="1" applyFont="1" applyFill="1" applyBorder="1" applyAlignment="1">
      <alignment horizontal="left" vertical="center" indent="2"/>
    </xf>
    <xf numFmtId="49" fontId="26" fillId="7" borderId="3" xfId="0" applyNumberFormat="1" applyFont="1" applyFill="1" applyBorder="1" applyAlignment="1" applyProtection="1">
      <alignment horizontal="left" vertical="center" wrapText="1"/>
      <protection locked="0"/>
    </xf>
    <xf numFmtId="49" fontId="2" fillId="0" borderId="10" xfId="0" applyNumberFormat="1" applyFont="1" applyBorder="1">
      <alignment vertical="top"/>
    </xf>
    <xf numFmtId="49" fontId="43" fillId="8" borderId="4" xfId="0" applyNumberFormat="1" applyFont="1" applyFill="1" applyBorder="1" applyAlignment="1">
      <alignment horizontal="left" vertical="center" indent="1"/>
    </xf>
    <xf numFmtId="49" fontId="43" fillId="8" borderId="6" xfId="0" applyNumberFormat="1" applyFont="1" applyFill="1" applyBorder="1" applyAlignment="1">
      <alignment horizontal="left" vertical="center" indent="1"/>
    </xf>
    <xf numFmtId="49" fontId="22" fillId="8" borderId="5" xfId="0" applyNumberFormat="1" applyFont="1" applyFill="1" applyBorder="1" applyAlignment="1">
      <alignment horizontal="center" vertical="center"/>
    </xf>
    <xf numFmtId="49" fontId="43" fillId="8" borderId="6" xfId="0" applyNumberFormat="1" applyFont="1" applyFill="1" applyBorder="1" applyAlignment="1">
      <alignment vertical="center"/>
    </xf>
    <xf numFmtId="0" fontId="0" fillId="12" borderId="3" xfId="0" applyNumberFormat="1" applyFont="1" applyFill="1" applyBorder="1" applyAlignment="1">
      <alignment horizontal="right" vertical="center"/>
    </xf>
    <xf numFmtId="0" fontId="4" fillId="0" borderId="0" xfId="0" applyNumberFormat="1" applyFont="1" applyAlignment="1">
      <alignment vertical="center" wrapText="1"/>
    </xf>
    <xf numFmtId="0" fontId="2" fillId="0" borderId="0" xfId="0" applyNumberFormat="1" applyFont="1" applyAlignment="1">
      <alignment vertical="center" wrapText="1"/>
    </xf>
    <xf numFmtId="0" fontId="5"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0" fillId="0" borderId="0" xfId="0" applyNumberFormat="1" applyFont="1" applyAlignment="1">
      <alignment vertical="center" wrapText="1"/>
    </xf>
    <xf numFmtId="0" fontId="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0" fontId="19" fillId="0" borderId="0" xfId="0" applyNumberFormat="1" applyFont="1" applyAlignment="1">
      <alignment vertical="center" wrapText="1"/>
    </xf>
    <xf numFmtId="49" fontId="20" fillId="0" borderId="0" xfId="0" applyNumberFormat="1" applyFont="1">
      <alignment vertical="top"/>
    </xf>
    <xf numFmtId="0" fontId="47" fillId="0" borderId="0" xfId="0" applyNumberFormat="1" applyFont="1" applyAlignment="1">
      <alignment vertical="center" wrapText="1"/>
    </xf>
    <xf numFmtId="49" fontId="22" fillId="8" borderId="5" xfId="0" applyNumberFormat="1" applyFont="1" applyFill="1" applyBorder="1" applyAlignment="1">
      <alignment horizontal="right" vertical="center" wrapText="1"/>
    </xf>
    <xf numFmtId="49" fontId="19" fillId="0" borderId="0" xfId="0" applyNumberFormat="1" applyFont="1">
      <alignment vertical="top"/>
    </xf>
    <xf numFmtId="49" fontId="0" fillId="0" borderId="0" xfId="0" applyNumberFormat="1" applyFont="1">
      <alignment vertical="top"/>
    </xf>
    <xf numFmtId="49" fontId="0" fillId="8"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0" fillId="0" borderId="5" xfId="0" applyNumberFormat="1" applyFont="1" applyBorder="1" applyAlignment="1">
      <alignment horizontal="center" vertical="center" wrapText="1"/>
    </xf>
    <xf numFmtId="0" fontId="0" fillId="7" borderId="3" xfId="0" applyNumberFormat="1" applyFont="1" applyFill="1" applyBorder="1" applyAlignment="1" applyProtection="1">
      <alignment horizontal="right" vertical="center" wrapText="1"/>
      <protection locked="0"/>
    </xf>
    <xf numFmtId="3" fontId="0" fillId="10"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6" borderId="5" xfId="0" applyNumberFormat="1" applyFont="1" applyFill="1" applyBorder="1" applyAlignment="1">
      <alignment horizontal="left" vertical="center" wrapText="1" indent="1"/>
    </xf>
    <xf numFmtId="0" fontId="0" fillId="6" borderId="8"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indent="2"/>
    </xf>
    <xf numFmtId="0" fontId="0" fillId="6" borderId="3" xfId="0" applyNumberFormat="1" applyFont="1" applyFill="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0" fillId="6"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6" borderId="3" xfId="0" applyNumberFormat="1" applyFont="1" applyFill="1" applyBorder="1" applyAlignment="1">
      <alignment vertical="center" wrapText="1"/>
    </xf>
    <xf numFmtId="49" fontId="0" fillId="6" borderId="3" xfId="0" applyNumberFormat="1" applyFont="1" applyFill="1" applyBorder="1" applyAlignment="1">
      <alignment horizontal="center" vertical="center"/>
    </xf>
    <xf numFmtId="0" fontId="0" fillId="6" borderId="3" xfId="0" applyNumberFormat="1" applyFont="1" applyFill="1" applyBorder="1" applyAlignment="1">
      <alignment horizontal="center" vertical="center" wrapText="1"/>
    </xf>
    <xf numFmtId="0" fontId="2" fillId="0" borderId="0" xfId="0" applyNumberFormat="1" applyFont="1" applyAlignment="1">
      <alignment vertical="center" wrapText="1"/>
    </xf>
    <xf numFmtId="49" fontId="7"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wrapText="1"/>
    </xf>
    <xf numFmtId="0" fontId="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17" fillId="0" borderId="0" xfId="0" applyNumberFormat="1" applyFont="1" applyAlignment="1">
      <alignment vertical="center" wrapText="1"/>
    </xf>
    <xf numFmtId="0" fontId="2" fillId="6" borderId="0" xfId="0" applyNumberFormat="1" applyFont="1" applyFill="1" applyAlignment="1">
      <alignment vertical="center" wrapText="1"/>
    </xf>
    <xf numFmtId="0" fontId="48" fillId="6" borderId="0" xfId="0" applyNumberFormat="1" applyFont="1" applyFill="1" applyAlignment="1">
      <alignment horizontal="center"/>
    </xf>
    <xf numFmtId="0" fontId="48" fillId="6" borderId="0" xfId="0" applyNumberFormat="1" applyFont="1" applyFill="1" applyAlignment="1"/>
    <xf numFmtId="0" fontId="50" fillId="6" borderId="0" xfId="0" applyNumberFormat="1" applyFont="1" applyFill="1" applyAlignment="1">
      <alignment horizontal="right" vertical="center"/>
    </xf>
    <xf numFmtId="0" fontId="50" fillId="6" borderId="0" xfId="0" applyNumberFormat="1" applyFont="1" applyFill="1" applyAlignment="1">
      <alignment horizontal="right" vertical="top"/>
    </xf>
    <xf numFmtId="0" fontId="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xf>
    <xf numFmtId="0" fontId="2" fillId="0" borderId="3" xfId="0" applyNumberFormat="1" applyFont="1" applyBorder="1" applyAlignment="1">
      <alignment horizontal="center" vertical="center" wrapText="1"/>
    </xf>
    <xf numFmtId="0" fontId="17" fillId="0" borderId="0" xfId="0" applyNumberFormat="1" applyFont="1" applyAlignment="1">
      <alignment vertical="top" wrapText="1"/>
    </xf>
    <xf numFmtId="0" fontId="2" fillId="8" borderId="5" xfId="0" applyNumberFormat="1" applyFont="1" applyFill="1" applyBorder="1" applyAlignment="1">
      <alignment horizontal="center"/>
    </xf>
    <xf numFmtId="0" fontId="43" fillId="8" borderId="6" xfId="0" applyNumberFormat="1" applyFont="1" applyFill="1" applyBorder="1" applyAlignment="1">
      <alignment horizontal="left" vertical="center"/>
    </xf>
    <xf numFmtId="0" fontId="43" fillId="8" borderId="4" xfId="0" applyNumberFormat="1" applyFont="1" applyFill="1" applyBorder="1" applyAlignment="1">
      <alignment horizontal="left" vertical="center"/>
    </xf>
    <xf numFmtId="0" fontId="51" fillId="6" borderId="0" xfId="0" applyNumberFormat="1" applyFont="1" applyFill="1" applyAlignment="1">
      <alignment vertical="center"/>
    </xf>
    <xf numFmtId="0" fontId="51" fillId="6" borderId="0" xfId="0" applyNumberFormat="1" applyFont="1" applyFill="1" applyAlignment="1">
      <alignment vertical="center" wrapText="1"/>
    </xf>
    <xf numFmtId="49"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vertical="center" wrapText="1"/>
    </xf>
    <xf numFmtId="0" fontId="38" fillId="6" borderId="0" xfId="0" applyNumberFormat="1" applyFont="1" applyFill="1" applyAlignment="1"/>
    <xf numFmtId="0" fontId="24" fillId="6" borderId="0" xfId="0" applyNumberFormat="1" applyFont="1" applyFill="1" applyAlignment="1"/>
    <xf numFmtId="0" fontId="34" fillId="6" borderId="0" xfId="0" applyNumberFormat="1" applyFont="1" applyFill="1" applyAlignment="1">
      <alignment horizontal="center"/>
    </xf>
    <xf numFmtId="0" fontId="31" fillId="0" borderId="0" xfId="0" applyNumberFormat="1" applyFont="1" applyAlignment="1">
      <alignment vertical="center" wrapText="1"/>
    </xf>
    <xf numFmtId="0" fontId="33" fillId="0" borderId="0" xfId="0" applyNumberFormat="1" applyFont="1" applyAlignment="1">
      <alignment vertical="center" wrapText="1"/>
    </xf>
    <xf numFmtId="0" fontId="33" fillId="6" borderId="0" xfId="0" applyNumberFormat="1" applyFont="1" applyFill="1" applyAlignment="1">
      <alignment vertical="center" wrapText="1"/>
    </xf>
    <xf numFmtId="0" fontId="33" fillId="6" borderId="0" xfId="0" applyNumberFormat="1" applyFont="1" applyFill="1" applyAlignment="1">
      <alignment horizontal="right" vertical="center"/>
    </xf>
    <xf numFmtId="0" fontId="33" fillId="6" borderId="0" xfId="0" applyNumberFormat="1" applyFont="1" applyFill="1" applyAlignment="1">
      <alignment horizontal="right" vertical="center" wrapText="1"/>
    </xf>
    <xf numFmtId="4" fontId="33" fillId="0" borderId="0" xfId="0" applyNumberFormat="1" applyFont="1" applyAlignment="1">
      <alignment horizontal="right" vertical="center" wrapText="1"/>
    </xf>
    <xf numFmtId="0" fontId="33" fillId="0" borderId="0" xfId="0" applyNumberFormat="1" applyFont="1" applyAlignment="1">
      <alignment horizontal="left" vertical="center" wrapText="1" indent="1"/>
    </xf>
    <xf numFmtId="0" fontId="5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wrapText="1"/>
    </xf>
    <xf numFmtId="0" fontId="37" fillId="0" borderId="0" xfId="0" applyNumberFormat="1" applyFont="1" applyAlignment="1">
      <alignment vertical="center" wrapText="1"/>
    </xf>
    <xf numFmtId="0" fontId="20" fillId="0" borderId="0" xfId="0" applyNumberFormat="1" applyFont="1" applyAlignment="1">
      <alignment vertical="center" wrapText="1"/>
    </xf>
    <xf numFmtId="49" fontId="2" fillId="11" borderId="3" xfId="0" applyNumberFormat="1" applyFont="1" applyFill="1" applyBorder="1" applyAlignment="1">
      <alignment horizontal="left" vertical="center" wrapText="1"/>
    </xf>
    <xf numFmtId="0" fontId="37" fillId="0" borderId="0" xfId="0" applyNumberFormat="1" applyFont="1" applyAlignment="1">
      <alignment horizontal="center" vertical="center" wrapText="1"/>
    </xf>
    <xf numFmtId="0" fontId="2" fillId="6" borderId="15" xfId="0" applyNumberFormat="1" applyFont="1" applyFill="1" applyBorder="1" applyAlignment="1">
      <alignment vertical="center" wrapText="1"/>
    </xf>
    <xf numFmtId="49" fontId="7" fillId="6" borderId="6"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52" fillId="0" borderId="0" xfId="0" applyNumberFormat="1" applyFont="1" applyAlignment="1">
      <alignment horizontal="center" vertical="center" wrapText="1"/>
    </xf>
    <xf numFmtId="0" fontId="46" fillId="0" borderId="0" xfId="0" applyNumberFormat="1" applyFont="1" applyAlignment="1">
      <alignment vertical="center" wrapText="1"/>
    </xf>
    <xf numFmtId="49" fontId="46" fillId="0" borderId="3" xfId="0" applyNumberFormat="1" applyFont="1" applyBorder="1" applyAlignment="1">
      <alignment horizontal="left" vertical="center" wrapText="1"/>
    </xf>
    <xf numFmtId="0" fontId="53" fillId="6" borderId="0" xfId="0" applyNumberFormat="1" applyFont="1" applyFill="1" applyAlignment="1">
      <alignment horizontal="center" vertical="center" wrapText="1"/>
    </xf>
    <xf numFmtId="49" fontId="46" fillId="0" borderId="8" xfId="0" applyNumberFormat="1" applyFont="1" applyBorder="1" applyAlignment="1">
      <alignment horizontal="left" vertical="center" wrapText="1"/>
    </xf>
    <xf numFmtId="0" fontId="20" fillId="0" borderId="0" xfId="0" applyNumberFormat="1" applyFont="1" applyAlignment="1">
      <alignment vertical="center"/>
    </xf>
    <xf numFmtId="0" fontId="20" fillId="6" borderId="0" xfId="0" applyNumberFormat="1" applyFont="1" applyFill="1" applyAlignment="1"/>
    <xf numFmtId="0" fontId="20" fillId="6" borderId="0" xfId="0" applyNumberFormat="1" applyFont="1" applyFill="1" applyAlignment="1">
      <alignment vertical="center" wrapText="1"/>
    </xf>
    <xf numFmtId="0" fontId="20" fillId="0" borderId="0" xfId="0" applyNumberFormat="1" applyFont="1" applyAlignment="1">
      <alignment vertical="center" wrapText="1"/>
    </xf>
    <xf numFmtId="49" fontId="2" fillId="0" borderId="0" xfId="0" applyNumberFormat="1" applyFont="1">
      <alignment vertical="top"/>
    </xf>
    <xf numFmtId="0"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0" fontId="14" fillId="0" borderId="0" xfId="0" applyNumberFormat="1" applyFont="1" applyAlignment="1">
      <alignment vertical="center" wrapText="1"/>
    </xf>
    <xf numFmtId="49" fontId="2" fillId="0" borderId="3" xfId="0" applyNumberFormat="1" applyFont="1" applyBorder="1" applyAlignment="1">
      <alignment horizontal="left" vertical="center" wrapText="1"/>
    </xf>
    <xf numFmtId="0" fontId="2" fillId="0" borderId="0" xfId="0" applyNumberFormat="1" applyFont="1" applyAlignment="1">
      <alignment vertical="center" wrapText="1"/>
    </xf>
    <xf numFmtId="49" fontId="20"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14"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14" fontId="54" fillId="8" borderId="6" xfId="0" applyNumberFormat="1" applyFont="1" applyFill="1" applyBorder="1" applyAlignment="1">
      <alignment horizontal="center" vertical="center" wrapText="1"/>
    </xf>
    <xf numFmtId="0" fontId="20" fillId="0" borderId="0" xfId="0" applyNumberFormat="1" applyFont="1" applyAlignment="1">
      <alignment horizontal="left" vertical="center" wrapText="1"/>
    </xf>
    <xf numFmtId="49" fontId="20" fillId="0" borderId="0" xfId="0" applyNumberFormat="1" applyFont="1" applyAlignment="1">
      <alignment horizontal="left" vertical="center" wrapText="1"/>
    </xf>
    <xf numFmtId="0" fontId="20" fillId="0" borderId="0" xfId="0" applyNumberFormat="1" applyFont="1" applyAlignment="1">
      <alignment vertical="center" wrapText="1"/>
    </xf>
    <xf numFmtId="49" fontId="26" fillId="0" borderId="3" xfId="0" applyNumberFormat="1" applyFont="1" applyBorder="1" applyAlignment="1">
      <alignment horizontal="left" vertical="center" wrapText="1"/>
    </xf>
    <xf numFmtId="14"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55"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0" fillId="6" borderId="5" xfId="0" applyNumberFormat="1" applyFont="1" applyFill="1" applyBorder="1" applyAlignment="1">
      <alignment horizontal="left" vertical="center" wrapText="1"/>
    </xf>
    <xf numFmtId="49" fontId="22" fillId="8" borderId="6" xfId="0" applyNumberFormat="1" applyFont="1" applyFill="1" applyBorder="1" applyAlignment="1">
      <alignment horizontal="center" vertical="center"/>
    </xf>
    <xf numFmtId="0" fontId="4" fillId="0" borderId="0" xfId="0" applyNumberFormat="1" applyFont="1" applyAlignment="1">
      <alignment vertical="center" wrapText="1"/>
    </xf>
    <xf numFmtId="0" fontId="3"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0" fontId="56" fillId="0" borderId="0" xfId="0" applyNumberFormat="1" applyFont="1" applyAlignment="1">
      <alignment vertical="center" wrapText="1"/>
    </xf>
    <xf numFmtId="49" fontId="19" fillId="0" borderId="0" xfId="0" applyNumberFormat="1" applyFont="1" applyAlignment="1">
      <alignment horizontal="center" vertical="center" wrapText="1"/>
    </xf>
    <xf numFmtId="0" fontId="19" fillId="0" borderId="0" xfId="0" applyNumberFormat="1" applyFont="1" applyAlignment="1">
      <alignment vertical="center" wrapText="1"/>
    </xf>
    <xf numFmtId="49" fontId="2" fillId="0" borderId="0" xfId="0" applyNumberFormat="1" applyFont="1" applyAlignment="1">
      <alignment horizontal="center" vertical="top" wrapText="1"/>
    </xf>
    <xf numFmtId="49" fontId="2" fillId="0" borderId="3" xfId="0" applyNumberFormat="1" applyFont="1" applyBorder="1" applyAlignment="1">
      <alignment horizontal="center" vertical="center" wrapText="1"/>
    </xf>
    <xf numFmtId="49" fontId="2" fillId="10" borderId="3" xfId="0" applyNumberFormat="1" applyFont="1" applyFill="1" applyBorder="1" applyAlignment="1" applyProtection="1">
      <alignment vertical="center" wrapText="1"/>
      <protection locked="0"/>
    </xf>
    <xf numFmtId="4" fontId="2" fillId="7" borderId="3"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vertical="top" wrapText="1"/>
    </xf>
    <xf numFmtId="0" fontId="57" fillId="0" borderId="0" xfId="0" applyNumberFormat="1" applyFont="1" applyAlignment="1">
      <alignment vertical="center" wrapText="1"/>
    </xf>
    <xf numFmtId="0" fontId="27" fillId="0" borderId="0" xfId="0" applyNumberFormat="1" applyFont="1" applyAlignment="1">
      <alignment vertical="center" wrapText="1"/>
    </xf>
    <xf numFmtId="166" fontId="2" fillId="7" borderId="3" xfId="0" applyNumberFormat="1" applyFont="1" applyFill="1" applyBorder="1" applyAlignment="1" applyProtection="1">
      <alignment horizontal="right" vertical="center" wrapText="1"/>
      <protection locked="0"/>
    </xf>
    <xf numFmtId="0" fontId="2" fillId="0" borderId="19" xfId="0" applyNumberFormat="1" applyFont="1" applyBorder="1" applyAlignment="1">
      <alignment horizontal="center" vertical="center" wrapText="1"/>
    </xf>
    <xf numFmtId="0" fontId="2" fillId="10" borderId="3" xfId="0" applyNumberFormat="1" applyFont="1" applyFill="1" applyBorder="1" applyAlignment="1" applyProtection="1">
      <alignment horizontal="left" vertical="center" wrapText="1" indent="2"/>
      <protection locked="0"/>
    </xf>
    <xf numFmtId="49" fontId="20" fillId="0" borderId="0" xfId="0" applyNumberFormat="1" applyFont="1" applyAlignment="1">
      <alignment horizontal="center" vertical="center" wrapText="1"/>
    </xf>
    <xf numFmtId="0" fontId="20" fillId="0" borderId="19" xfId="0" applyNumberFormat="1" applyFont="1" applyBorder="1" applyAlignment="1">
      <alignment horizontal="center" vertical="center" wrapText="1"/>
    </xf>
    <xf numFmtId="0" fontId="20" fillId="0" borderId="3" xfId="0" applyNumberFormat="1" applyFont="1" applyBorder="1" applyAlignment="1">
      <alignment horizontal="left" vertical="center" wrapText="1" indent="2"/>
    </xf>
    <xf numFmtId="0" fontId="20" fillId="0" borderId="3" xfId="0" applyNumberFormat="1" applyFont="1" applyBorder="1" applyAlignment="1">
      <alignment horizontal="center" vertical="center" wrapText="1"/>
    </xf>
    <xf numFmtId="0" fontId="20" fillId="0" borderId="3" xfId="0" applyNumberFormat="1" applyFont="1" applyBorder="1" applyAlignment="1">
      <alignment vertical="center" wrapText="1"/>
    </xf>
    <xf numFmtId="0" fontId="2" fillId="0" borderId="3" xfId="0" applyNumberFormat="1" applyFont="1" applyBorder="1" applyAlignment="1">
      <alignment horizontal="left" vertical="center" wrapText="1" indent="3"/>
    </xf>
    <xf numFmtId="49" fontId="2" fillId="10" borderId="3" xfId="0" applyNumberFormat="1" applyFont="1" applyFill="1" applyBorder="1" applyAlignment="1" applyProtection="1">
      <alignment horizontal="center" vertical="center" wrapText="1"/>
      <protection locked="0"/>
    </xf>
    <xf numFmtId="0" fontId="2"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vertical="center" wrapText="1"/>
    </xf>
    <xf numFmtId="4" fontId="2" fillId="10" borderId="3" xfId="0" applyNumberFormat="1" applyFont="1" applyFill="1" applyBorder="1" applyAlignment="1" applyProtection="1">
      <alignment horizontal="right" vertical="center" wrapText="1"/>
      <protection locked="0"/>
    </xf>
    <xf numFmtId="4" fontId="2" fillId="5" borderId="3" xfId="0" applyNumberFormat="1" applyFont="1" applyFill="1" applyBorder="1" applyAlignment="1">
      <alignment horizontal="right" vertical="center" wrapText="1"/>
    </xf>
    <xf numFmtId="0" fontId="2" fillId="0" borderId="3" xfId="0" applyNumberFormat="1" applyFont="1" applyBorder="1" applyAlignment="1">
      <alignment horizontal="left" vertical="center" wrapText="1" indent="1"/>
    </xf>
    <xf numFmtId="49" fontId="46" fillId="0" borderId="0" xfId="0" applyNumberFormat="1" applyFont="1" applyAlignment="1">
      <alignment horizontal="center" vertical="center" wrapText="1"/>
    </xf>
    <xf numFmtId="49"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2"/>
    </xf>
    <xf numFmtId="0" fontId="46" fillId="0" borderId="3" xfId="0" applyNumberFormat="1" applyFont="1" applyBorder="1" applyAlignment="1">
      <alignment horizontal="center" vertical="center" wrapText="1"/>
    </xf>
    <xf numFmtId="0" fontId="46" fillId="0" borderId="3" xfId="0" applyNumberFormat="1" applyFont="1" applyBorder="1" applyAlignment="1">
      <alignment vertical="center" wrapText="1"/>
    </xf>
    <xf numFmtId="0" fontId="58" fillId="0" borderId="0" xfId="0" applyNumberFormat="1" applyFont="1" applyAlignment="1">
      <alignment vertical="center" wrapText="1"/>
    </xf>
    <xf numFmtId="0" fontId="36" fillId="0" borderId="0" xfId="0" applyNumberFormat="1" applyFont="1" applyAlignment="1">
      <alignment vertical="center" wrapText="1"/>
    </xf>
    <xf numFmtId="0"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3"/>
    </xf>
    <xf numFmtId="4" fontId="46" fillId="0" borderId="3" xfId="0" applyNumberFormat="1" applyFont="1" applyBorder="1" applyAlignment="1">
      <alignment horizontal="right" vertical="center" wrapText="1"/>
    </xf>
    <xf numFmtId="49" fontId="2" fillId="8" borderId="5" xfId="0" applyNumberFormat="1" applyFont="1" applyFill="1" applyBorder="1" applyAlignment="1">
      <alignment vertical="center" wrapText="1"/>
    </xf>
    <xf numFmtId="49" fontId="12" fillId="8" borderId="6" xfId="0" applyNumberFormat="1" applyFont="1" applyFill="1" applyBorder="1" applyAlignment="1">
      <alignment horizontal="left" vertical="center" indent="2"/>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4" fontId="2" fillId="0" borderId="0" xfId="0" applyNumberFormat="1" applyFont="1" applyAlignment="1">
      <alignment horizontal="center" vertical="center" wrapText="1"/>
    </xf>
    <xf numFmtId="49" fontId="22" fillId="0" borderId="0" xfId="0" applyNumberFormat="1" applyFont="1" applyAlignment="1">
      <alignment horizontal="center" vertical="center"/>
    </xf>
    <xf numFmtId="0" fontId="2" fillId="0" borderId="3" xfId="0" applyNumberFormat="1" applyFont="1" applyBorder="1" applyAlignment="1">
      <alignment horizontal="left" vertical="center" wrapText="1" indent="2"/>
    </xf>
    <xf numFmtId="166" fontId="2" fillId="10" borderId="3" xfId="0" applyNumberFormat="1" applyFont="1" applyFill="1" applyBorder="1" applyAlignment="1" applyProtection="1">
      <alignment horizontal="right" vertical="center" wrapText="1"/>
      <protection locked="0"/>
    </xf>
    <xf numFmtId="0" fontId="2" fillId="0" borderId="8" xfId="0" applyNumberFormat="1" applyFont="1" applyBorder="1" applyAlignment="1">
      <alignment horizontal="center" vertical="center" wrapText="1"/>
    </xf>
    <xf numFmtId="4" fontId="2" fillId="5" borderId="8" xfId="0" applyNumberFormat="1" applyFont="1" applyFill="1" applyBorder="1" applyAlignment="1">
      <alignment horizontal="right" vertical="center" wrapText="1"/>
    </xf>
    <xf numFmtId="49" fontId="12" fillId="8" borderId="6" xfId="0" applyNumberFormat="1" applyFont="1" applyFill="1" applyBorder="1" applyAlignment="1">
      <alignment horizontal="left" vertical="center" indent="1"/>
    </xf>
    <xf numFmtId="0" fontId="2" fillId="0" borderId="0" xfId="0" applyNumberFormat="1" applyFont="1" applyAlignment="1">
      <alignment horizontal="left" vertical="center" wrapText="1"/>
    </xf>
    <xf numFmtId="0" fontId="2" fillId="0" borderId="0" xfId="0" applyNumberFormat="1" applyFont="1" applyAlignment="1">
      <alignment vertical="center"/>
    </xf>
    <xf numFmtId="0" fontId="19" fillId="0" borderId="0" xfId="0" applyNumberFormat="1" applyFont="1" applyAlignment="1">
      <alignment vertical="center"/>
    </xf>
    <xf numFmtId="0" fontId="2" fillId="0" borderId="0" xfId="0" applyNumberFormat="1" applyFont="1" applyAlignment="1">
      <alignment vertical="center"/>
    </xf>
    <xf numFmtId="0" fontId="59" fillId="0" borderId="0" xfId="0" applyNumberFormat="1" applyFont="1" applyAlignment="1">
      <alignment vertical="center"/>
    </xf>
    <xf numFmtId="0" fontId="2" fillId="0" borderId="0" xfId="0" applyNumberFormat="1" applyFont="1" applyAlignment="1">
      <alignment vertical="center" wrapText="1"/>
    </xf>
    <xf numFmtId="0" fontId="13" fillId="0" borderId="0" xfId="0" applyNumberFormat="1" applyFont="1" applyAlignment="1">
      <alignment vertical="center"/>
    </xf>
    <xf numFmtId="0" fontId="59" fillId="0" borderId="0" xfId="0" applyNumberFormat="1" applyFont="1" applyAlignment="1">
      <alignment vertical="center"/>
    </xf>
    <xf numFmtId="0" fontId="25" fillId="0" borderId="0" xfId="0" applyNumberFormat="1" applyFont="1" applyAlignment="1">
      <alignment vertical="center"/>
    </xf>
    <xf numFmtId="0" fontId="2" fillId="0" borderId="0" xfId="0" applyNumberFormat="1" applyFont="1" applyAlignment="1">
      <alignment horizontal="center" vertical="center" wrapText="1"/>
    </xf>
    <xf numFmtId="49" fontId="7" fillId="0" borderId="0" xfId="0" applyNumberFormat="1" applyFont="1" applyAlignment="1">
      <alignment horizontal="center" vertical="center" wrapText="1"/>
    </xf>
    <xf numFmtId="49" fontId="7" fillId="0" borderId="3" xfId="0" applyNumberFormat="1" applyFont="1" applyBorder="1" applyAlignment="1">
      <alignment horizontal="center" vertical="center" wrapText="1"/>
    </xf>
    <xf numFmtId="0" fontId="19" fillId="0" borderId="0" xfId="0" applyNumberFormat="1" applyFont="1" applyAlignment="1">
      <alignment vertical="center"/>
    </xf>
    <xf numFmtId="0" fontId="20" fillId="0" borderId="0" xfId="0" applyNumberFormat="1" applyFont="1" applyAlignment="1">
      <alignment horizontal="center" vertical="center"/>
    </xf>
    <xf numFmtId="0" fontId="2" fillId="0" borderId="0" xfId="0" applyNumberFormat="1" applyFont="1" applyAlignment="1">
      <alignment horizontal="center" vertical="center" wrapText="1"/>
    </xf>
    <xf numFmtId="0" fontId="2" fillId="8" borderId="5"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0" fillId="8" borderId="4" xfId="0" applyNumberFormat="1" applyFont="1" applyFill="1" applyBorder="1" applyAlignment="1">
      <alignment vertical="center"/>
    </xf>
    <xf numFmtId="49" fontId="2" fillId="0" borderId="8" xfId="0" applyNumberFormat="1" applyFont="1" applyBorder="1" applyAlignment="1">
      <alignment horizontal="center" vertical="center" wrapText="1"/>
    </xf>
    <xf numFmtId="49" fontId="48" fillId="0" borderId="3" xfId="0" applyNumberFormat="1" applyFont="1" applyBorder="1" applyAlignment="1">
      <alignment horizontal="left" vertical="center" wrapText="1" indent="1"/>
    </xf>
    <xf numFmtId="0" fontId="19" fillId="0" borderId="0" xfId="0" applyNumberFormat="1" applyFont="1" applyAlignment="1">
      <alignment vertical="center"/>
    </xf>
    <xf numFmtId="0" fontId="47" fillId="0" borderId="0" xfId="0" applyNumberFormat="1" applyFont="1" applyAlignment="1">
      <alignment vertical="center"/>
    </xf>
    <xf numFmtId="49" fontId="12" fillId="8" borderId="4" xfId="0" applyNumberFormat="1" applyFont="1" applyFill="1" applyBorder="1" applyAlignment="1">
      <alignment horizontal="left" vertical="center" indent="1"/>
    </xf>
    <xf numFmtId="49" fontId="22" fillId="8" borderId="4" xfId="0" applyNumberFormat="1" applyFont="1" applyFill="1" applyBorder="1" applyAlignment="1">
      <alignment horizontal="right" vertical="center" wrapText="1"/>
    </xf>
    <xf numFmtId="0" fontId="48" fillId="13" borderId="0" xfId="0" applyNumberFormat="1" applyFont="1" applyFill="1">
      <alignment vertical="top"/>
    </xf>
    <xf numFmtId="49" fontId="3" fillId="0" borderId="0" xfId="0" applyNumberFormat="1" applyFont="1" applyAlignment="1">
      <alignment horizontal="center"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horizontal="center" vertical="center" wrapText="1"/>
    </xf>
    <xf numFmtId="0" fontId="2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 fontId="2" fillId="0" borderId="0" xfId="0" applyNumberFormat="1" applyFont="1" applyAlignment="1">
      <alignment horizontal="right" vertical="center" wrapText="1"/>
    </xf>
    <xf numFmtId="9" fontId="22" fillId="0" borderId="0" xfId="0" applyNumberFormat="1" applyFont="1" applyAlignment="1">
      <alignment horizontal="center" vertical="center" wrapText="1"/>
    </xf>
    <xf numFmtId="0" fontId="45" fillId="0" borderId="0" xfId="0" applyNumberFormat="1" applyFont="1" applyAlignment="1">
      <alignment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49" fontId="36" fillId="0" borderId="0" xfId="0" applyNumberFormat="1" applyFont="1" applyAlignment="1">
      <alignment horizontal="center" vertical="center" wrapText="1"/>
    </xf>
    <xf numFmtId="0" fontId="36"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19" fillId="0" borderId="0" xfId="0" applyNumberFormat="1" applyFont="1">
      <alignment vertical="top"/>
    </xf>
    <xf numFmtId="0" fontId="19" fillId="0" borderId="0" xfId="0" applyNumberFormat="1" applyFont="1">
      <alignment vertical="top"/>
    </xf>
    <xf numFmtId="0" fontId="47" fillId="0" borderId="0" xfId="0" applyNumberFormat="1" applyFont="1">
      <alignment vertical="top"/>
    </xf>
    <xf numFmtId="0" fontId="60" fillId="0" borderId="0" xfId="0" applyNumberFormat="1" applyFont="1">
      <alignment vertical="top"/>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5"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0" borderId="3" xfId="0" applyNumberFormat="1" applyFont="1" applyFill="1" applyBorder="1" applyAlignment="1" applyProtection="1">
      <alignment horizontal="right" vertical="center" wrapText="1"/>
      <protection locked="0"/>
    </xf>
    <xf numFmtId="49" fontId="0" fillId="10" borderId="3" xfId="0" applyNumberFormat="1" applyFont="1" applyFill="1" applyBorder="1" applyAlignment="1" applyProtection="1">
      <alignment horizontal="center" vertical="center" wrapText="1"/>
      <protection locked="0"/>
    </xf>
    <xf numFmtId="4" fontId="19" fillId="0" borderId="3" xfId="0" applyNumberFormat="1" applyFont="1" applyBorder="1" applyAlignment="1">
      <alignment horizontal="right" vertical="center" wrapText="1"/>
    </xf>
    <xf numFmtId="49" fontId="0" fillId="8" borderId="21" xfId="0" applyNumberFormat="1" applyFont="1" applyFill="1" applyBorder="1" applyAlignment="1">
      <alignment horizontal="center" vertical="center"/>
    </xf>
    <xf numFmtId="49" fontId="0" fillId="8" borderId="6" xfId="0" applyNumberFormat="1" applyFont="1" applyFill="1" applyBorder="1" applyAlignment="1">
      <alignment horizontal="center" vertical="center"/>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49" fontId="12"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0" fontId="12" fillId="0" borderId="3" xfId="0" applyNumberFormat="1" applyFont="1" applyBorder="1" applyAlignment="1">
      <alignment horizontal="left" vertical="center" indent="1"/>
    </xf>
    <xf numFmtId="0" fontId="2" fillId="0" borderId="0" xfId="0" applyNumberFormat="1" applyFont="1" applyAlignment="1">
      <alignment horizontal="right" vertical="center" wrapText="1"/>
    </xf>
    <xf numFmtId="0" fontId="0" fillId="0" borderId="0" xfId="0" applyNumberFormat="1" applyFont="1" applyAlignment="1">
      <alignment vertical="center"/>
    </xf>
    <xf numFmtId="0" fontId="17" fillId="0" borderId="0" xfId="0" applyNumberFormat="1" applyFont="1" applyAlignment="1">
      <alignment horizontal="right" vertical="top" wrapText="1"/>
    </xf>
    <xf numFmtId="0" fontId="2" fillId="0" borderId="0" xfId="0" applyNumberFormat="1" applyFont="1" applyAlignment="1">
      <alignment vertical="top" wrapText="1"/>
    </xf>
    <xf numFmtId="0" fontId="2" fillId="0" borderId="0" xfId="0" applyNumberFormat="1" applyFont="1" applyAlignment="1">
      <alignment horizontal="left" vertical="top" wrapText="1"/>
    </xf>
    <xf numFmtId="0" fontId="7" fillId="0" borderId="0" xfId="0" applyNumberFormat="1" applyFont="1" applyAlignment="1">
      <alignment horizontal="center" vertical="center" wrapText="1"/>
    </xf>
    <xf numFmtId="4" fontId="2" fillId="0" borderId="3" xfId="0" applyNumberFormat="1" applyFont="1" applyBorder="1" applyAlignment="1">
      <alignment horizontal="center" vertical="center" wrapText="1"/>
    </xf>
    <xf numFmtId="49" fontId="26" fillId="7" borderId="5" xfId="0" applyNumberFormat="1" applyFont="1" applyFill="1" applyBorder="1" applyAlignment="1" applyProtection="1">
      <alignment horizontal="left" vertical="center" wrapText="1"/>
      <protection locked="0"/>
    </xf>
    <xf numFmtId="49" fontId="26" fillId="7" borderId="5" xfId="0" applyNumberFormat="1" applyFont="1" applyFill="1" applyBorder="1" applyAlignment="1" applyProtection="1">
      <alignment horizontal="left" vertical="center" wrapText="1"/>
      <protection locked="0"/>
    </xf>
    <xf numFmtId="49" fontId="2" fillId="10" borderId="3" xfId="0" applyNumberFormat="1" applyFont="1" applyFill="1" applyBorder="1" applyAlignment="1" applyProtection="1">
      <alignment horizontal="left" vertical="center" wrapText="1"/>
      <protection locked="0"/>
    </xf>
    <xf numFmtId="0" fontId="17" fillId="0" borderId="0" xfId="0" applyNumberFormat="1" applyFont="1">
      <alignment vertical="top"/>
    </xf>
    <xf numFmtId="49" fontId="2" fillId="0" borderId="22" xfId="0" applyNumberFormat="1" applyFont="1" applyBorder="1" applyAlignment="1">
      <alignment horizontal="center" vertical="center" wrapText="1"/>
    </xf>
    <xf numFmtId="0" fontId="2" fillId="0" borderId="22" xfId="0" applyNumberFormat="1" applyFont="1" applyBorder="1" applyAlignment="1">
      <alignment horizontal="left" vertical="center" wrapText="1"/>
    </xf>
    <xf numFmtId="0" fontId="2" fillId="0" borderId="22" xfId="0" applyNumberFormat="1" applyFont="1" applyBorder="1" applyAlignment="1">
      <alignment horizontal="left" vertical="center" wrapText="1" indent="1"/>
    </xf>
    <xf numFmtId="4" fontId="2" fillId="10" borderId="22" xfId="0" applyNumberFormat="1" applyFont="1" applyFill="1" applyBorder="1" applyAlignment="1" applyProtection="1">
      <alignment horizontal="right" vertical="center" wrapText="1"/>
      <protection locked="0"/>
    </xf>
    <xf numFmtId="49" fontId="2" fillId="0" borderId="23" xfId="0" applyNumberFormat="1" applyFont="1" applyBorder="1" applyAlignment="1">
      <alignment horizontal="center"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22" xfId="0" applyNumberFormat="1" applyFont="1" applyBorder="1" applyAlignment="1">
      <alignment horizontal="left" vertical="center" wrapText="1" indent="2"/>
    </xf>
    <xf numFmtId="0" fontId="19" fillId="0" borderId="0" xfId="0" applyNumberFormat="1" applyFont="1" applyAlignment="1">
      <alignment horizontal="center" vertical="center" wrapText="1"/>
    </xf>
    <xf numFmtId="49" fontId="2" fillId="0" borderId="0" xfId="0" applyNumberFormat="1" applyFont="1" applyAlignment="1">
      <alignment horizontal="left" vertical="center" wrapText="1"/>
    </xf>
    <xf numFmtId="0" fontId="56" fillId="0" borderId="0" xfId="0" applyNumberFormat="1" applyFont="1" applyAlignment="1">
      <alignment vertical="center" wrapText="1"/>
    </xf>
    <xf numFmtId="0" fontId="56"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3" xfId="0" applyNumberFormat="1" applyFont="1" applyBorder="1" applyAlignment="1">
      <alignment horizontal="left" vertical="center" wrapText="1"/>
    </xf>
    <xf numFmtId="3" fontId="2" fillId="0" borderId="5" xfId="0" applyNumberFormat="1" applyFont="1" applyBorder="1" applyAlignment="1">
      <alignment vertical="center" wrapText="1"/>
    </xf>
    <xf numFmtId="0" fontId="2" fillId="0" borderId="4" xfId="0" applyNumberFormat="1" applyFont="1" applyBorder="1" applyAlignment="1">
      <alignment vertical="center" wrapText="1"/>
    </xf>
    <xf numFmtId="4" fontId="2" fillId="7" borderId="5" xfId="0" applyNumberFormat="1" applyFont="1" applyFill="1" applyBorder="1" applyAlignment="1" applyProtection="1">
      <alignment horizontal="right" vertical="center" wrapText="1"/>
      <protection locked="0"/>
    </xf>
    <xf numFmtId="4" fontId="2" fillId="0" borderId="5"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0" fontId="2" fillId="0" borderId="5" xfId="0" applyNumberFormat="1" applyFont="1" applyBorder="1" applyAlignment="1">
      <alignment horizontal="center" vertical="center" wrapText="1"/>
    </xf>
    <xf numFmtId="3" fontId="2" fillId="10" borderId="5" xfId="0" applyNumberFormat="1" applyFont="1" applyFill="1" applyBorder="1" applyAlignment="1" applyProtection="1">
      <alignment vertical="center" wrapText="1"/>
      <protection locked="0"/>
    </xf>
    <xf numFmtId="49" fontId="2" fillId="7" borderId="5" xfId="0" applyNumberFormat="1" applyFont="1" applyFill="1" applyBorder="1" applyAlignment="1" applyProtection="1">
      <alignment horizontal="left" vertical="center" wrapText="1"/>
      <protection locked="0"/>
    </xf>
    <xf numFmtId="4" fontId="2" fillId="5" borderId="5" xfId="0" applyNumberFormat="1" applyFont="1" applyFill="1" applyBorder="1" applyAlignment="1">
      <alignment horizontal="right" vertical="center" wrapText="1"/>
    </xf>
    <xf numFmtId="0" fontId="2"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2"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2" fillId="8" borderId="10" xfId="0" applyNumberFormat="1" applyFont="1" applyFill="1" applyBorder="1" applyAlignment="1">
      <alignment vertical="center" wrapText="1"/>
    </xf>
    <xf numFmtId="0" fontId="2" fillId="0" borderId="6" xfId="0" applyNumberFormat="1" applyFont="1" applyBorder="1" applyAlignment="1">
      <alignment horizontal="center" vertical="center" wrapText="1"/>
    </xf>
    <xf numFmtId="0" fontId="2" fillId="8" borderId="18" xfId="0" applyNumberFormat="1" applyFont="1" applyFill="1" applyBorder="1" applyAlignment="1">
      <alignment vertical="center" wrapText="1"/>
    </xf>
    <xf numFmtId="49" fontId="2" fillId="10" borderId="5"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left" vertical="center" wrapText="1" indent="1"/>
    </xf>
    <xf numFmtId="0" fontId="61" fillId="6" borderId="0" xfId="0" applyNumberFormat="1" applyFont="1" applyFill="1" applyAlignment="1">
      <alignment horizontal="center" vertical="center" wrapText="1"/>
    </xf>
    <xf numFmtId="0" fontId="61" fillId="6" borderId="0" xfId="0" applyNumberFormat="1" applyFont="1" applyFill="1" applyAlignment="1">
      <alignment horizontal="right"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top"/>
    </xf>
    <xf numFmtId="0" fontId="2" fillId="0" borderId="3" xfId="0" applyNumberFormat="1" applyFont="1" applyBorder="1" applyAlignment="1">
      <alignment horizontal="left" vertical="center" wrapText="1"/>
    </xf>
    <xf numFmtId="0"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indent="1"/>
    </xf>
    <xf numFmtId="0" fontId="2" fillId="0" borderId="5" xfId="0" applyNumberFormat="1" applyFont="1" applyBorder="1" applyAlignment="1">
      <alignment vertical="center" wrapText="1"/>
    </xf>
    <xf numFmtId="0" fontId="2" fillId="0" borderId="0" xfId="0" applyNumberFormat="1" applyFont="1" applyAlignment="1">
      <alignment horizontal="right" vertical="center"/>
    </xf>
    <xf numFmtId="49" fontId="26" fillId="8" borderId="4" xfId="0" applyNumberFormat="1" applyFont="1" applyFill="1" applyBorder="1" applyAlignment="1">
      <alignment horizontal="left" vertical="center" wrapText="1"/>
    </xf>
    <xf numFmtId="0" fontId="62" fillId="0" borderId="0" xfId="0" applyNumberFormat="1" applyFont="1" applyAlignment="1">
      <alignment vertical="center"/>
    </xf>
    <xf numFmtId="0" fontId="63" fillId="0" borderId="0" xfId="0" applyNumberFormat="1" applyFont="1" applyAlignment="1">
      <alignment vertical="center"/>
    </xf>
    <xf numFmtId="49" fontId="20" fillId="0" borderId="13" xfId="0" applyNumberFormat="1" applyFont="1" applyBorder="1">
      <alignment vertical="top"/>
    </xf>
    <xf numFmtId="49" fontId="20" fillId="0" borderId="13" xfId="0" applyNumberFormat="1" applyFont="1" applyBorder="1">
      <alignment vertical="top"/>
    </xf>
    <xf numFmtId="0" fontId="20" fillId="0" borderId="13" xfId="0" applyNumberFormat="1" applyFont="1" applyBorder="1" applyAlignment="1">
      <alignment vertical="center" wrapText="1"/>
    </xf>
    <xf numFmtId="0" fontId="2" fillId="0" borderId="4" xfId="0" applyNumberFormat="1" applyFont="1" applyBorder="1" applyAlignment="1">
      <alignment horizontal="left" vertical="center" wrapText="1" indent="1"/>
    </xf>
    <xf numFmtId="0" fontId="45" fillId="0" borderId="13" xfId="0" applyNumberFormat="1" applyFont="1" applyBorder="1" applyAlignment="1">
      <alignment vertical="center" wrapText="1"/>
    </xf>
    <xf numFmtId="0" fontId="2" fillId="0" borderId="3" xfId="0" applyNumberFormat="1" applyFont="1" applyBorder="1" applyAlignment="1">
      <alignment horizontal="center" vertical="center" wrapText="1"/>
    </xf>
    <xf numFmtId="4" fontId="2" fillId="0" borderId="22" xfId="0" applyNumberFormat="1" applyFont="1" applyBorder="1" applyAlignment="1">
      <alignment horizontal="center" vertical="center" wrapText="1"/>
    </xf>
    <xf numFmtId="0" fontId="2" fillId="0" borderId="24" xfId="0" applyNumberFormat="1" applyFont="1" applyBorder="1" applyAlignment="1">
      <alignment horizontal="left" vertical="center" wrapText="1"/>
    </xf>
    <xf numFmtId="0" fontId="2" fillId="0" borderId="24" xfId="0" applyNumberFormat="1" applyFont="1" applyBorder="1" applyAlignment="1">
      <alignment horizontal="left" vertical="center" wrapText="1" indent="1"/>
    </xf>
    <xf numFmtId="4" fontId="2" fillId="10" borderId="24" xfId="0" applyNumberFormat="1" applyFont="1" applyFill="1" applyBorder="1" applyAlignment="1" applyProtection="1">
      <alignment horizontal="right" vertical="center" wrapText="1"/>
      <protection locked="0"/>
    </xf>
    <xf numFmtId="4" fontId="2" fillId="0" borderId="24" xfId="0" applyNumberFormat="1" applyFont="1" applyBorder="1" applyAlignment="1">
      <alignment horizontal="center" vertical="center" wrapText="1"/>
    </xf>
    <xf numFmtId="49" fontId="2" fillId="0" borderId="25" xfId="0" applyNumberFormat="1" applyFont="1" applyBorder="1" applyAlignment="1">
      <alignment horizontal="center" vertical="center" wrapText="1"/>
    </xf>
    <xf numFmtId="4" fontId="2" fillId="10" borderId="5" xfId="0" applyNumberFormat="1" applyFont="1" applyFill="1" applyBorder="1" applyAlignment="1" applyProtection="1">
      <alignment horizontal="right" vertical="center" wrapText="1"/>
      <protection locked="0"/>
    </xf>
    <xf numFmtId="4" fontId="2" fillId="10" borderId="25" xfId="0" applyNumberFormat="1" applyFont="1" applyFill="1" applyBorder="1" applyAlignment="1" applyProtection="1">
      <alignment horizontal="right" vertical="center" wrapText="1"/>
      <protection locked="0"/>
    </xf>
    <xf numFmtId="0" fontId="19" fillId="0" borderId="0" xfId="0" applyNumberFormat="1" applyFont="1" applyAlignment="1">
      <alignment horizontal="left" vertical="center" wrapText="1"/>
    </xf>
    <xf numFmtId="0" fontId="20" fillId="0" borderId="0" xfId="0" applyNumberFormat="1" applyFont="1" applyAlignment="1">
      <alignment horizontal="left" vertical="center" wrapText="1"/>
    </xf>
    <xf numFmtId="0" fontId="27" fillId="0" borderId="0" xfId="0" applyNumberFormat="1" applyFont="1" applyAlignment="1">
      <alignment horizontal="left" vertical="center" wrapText="1"/>
    </xf>
    <xf numFmtId="0" fontId="3" fillId="0" borderId="0" xfId="0" applyNumberFormat="1" applyFont="1" applyAlignment="1">
      <alignment horizontal="left" vertical="center" wrapText="1"/>
    </xf>
    <xf numFmtId="49" fontId="2" fillId="0" borderId="0" xfId="0" applyNumberFormat="1" applyFont="1" applyAlignment="1">
      <alignment horizontal="center" vertical="center" wrapText="1"/>
    </xf>
    <xf numFmtId="0" fontId="57" fillId="0" borderId="0" xfId="0" applyNumberFormat="1" applyFont="1" applyAlignment="1">
      <alignment vertical="center" wrapText="1"/>
    </xf>
    <xf numFmtId="0" fontId="20" fillId="0" borderId="0" xfId="0" applyNumberFormat="1" applyFont="1" applyAlignment="1">
      <alignment vertical="center" wrapText="1"/>
    </xf>
    <xf numFmtId="0" fontId="27" fillId="0" borderId="0" xfId="0" applyNumberFormat="1" applyFont="1" applyAlignment="1">
      <alignment vertical="center" wrapText="1"/>
    </xf>
    <xf numFmtId="0" fontId="3" fillId="0" borderId="0" xfId="0" applyNumberFormat="1" applyFont="1" applyAlignment="1">
      <alignment vertical="center" wrapText="1"/>
    </xf>
    <xf numFmtId="49" fontId="22" fillId="0" borderId="0" xfId="0" applyNumberFormat="1" applyFont="1" applyAlignment="1">
      <alignment horizontal="center" vertical="center"/>
    </xf>
    <xf numFmtId="4" fontId="2" fillId="0" borderId="26" xfId="0" applyNumberFormat="1" applyFont="1" applyBorder="1" applyAlignment="1">
      <alignment horizontal="center" vertical="center" wrapText="1"/>
    </xf>
    <xf numFmtId="4" fontId="2" fillId="10" borderId="26" xfId="0" applyNumberFormat="1" applyFont="1" applyFill="1" applyBorder="1" applyAlignment="1" applyProtection="1">
      <alignment horizontal="right" vertical="center" wrapText="1"/>
      <protection locked="0"/>
    </xf>
    <xf numFmtId="4" fontId="2" fillId="10" borderId="14" xfId="0" applyNumberFormat="1" applyFont="1" applyFill="1" applyBorder="1" applyAlignment="1" applyProtection="1">
      <alignment horizontal="right" vertical="center" wrapText="1"/>
      <protection locked="0"/>
    </xf>
    <xf numFmtId="49" fontId="2" fillId="0" borderId="24" xfId="0" applyNumberFormat="1" applyFont="1" applyBorder="1" applyAlignment="1">
      <alignment horizontal="center" vertical="center" wrapText="1"/>
    </xf>
    <xf numFmtId="0" fontId="2" fillId="0" borderId="26" xfId="0" applyNumberFormat="1" applyFont="1" applyBorder="1" applyAlignment="1">
      <alignment horizontal="left" vertical="center" wrapText="1"/>
    </xf>
    <xf numFmtId="0" fontId="2" fillId="0" borderId="11" xfId="0" applyNumberFormat="1" applyFont="1" applyBorder="1" applyAlignment="1">
      <alignment vertical="center" wrapText="1"/>
    </xf>
    <xf numFmtId="0" fontId="8" fillId="0" borderId="0" xfId="0" applyNumberFormat="1" applyFont="1" applyAlignment="1">
      <alignment horizontal="center" vertical="center" wrapText="1"/>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66" fontId="2" fillId="5" borderId="3" xfId="0" applyNumberFormat="1" applyFont="1" applyFill="1" applyBorder="1" applyAlignment="1">
      <alignment horizontal="right" vertical="center" wrapText="1"/>
    </xf>
    <xf numFmtId="4" fontId="2" fillId="7" borderId="3" xfId="0" applyNumberFormat="1" applyFont="1" applyFill="1" applyBorder="1" applyAlignment="1" applyProtection="1">
      <alignment horizontal="right" vertical="center" wrapText="1"/>
      <protection locked="0"/>
    </xf>
    <xf numFmtId="49" fontId="64" fillId="10" borderId="3" xfId="0" applyNumberFormat="1" applyFont="1" applyFill="1" applyBorder="1" applyAlignment="1" applyProtection="1">
      <alignment horizontal="left" vertical="center" wrapText="1" indent="1"/>
      <protection locked="0"/>
    </xf>
    <xf numFmtId="0" fontId="43" fillId="6" borderId="0" xfId="0" applyNumberFormat="1" applyFont="1" applyFill="1" applyAlignment="1">
      <alignment horizontal="right" vertical="center"/>
    </xf>
    <xf numFmtId="49" fontId="0" fillId="0" borderId="3" xfId="0" applyNumberFormat="1" applyFont="1" applyBorder="1">
      <alignment vertical="top"/>
    </xf>
    <xf numFmtId="0" fontId="2" fillId="0" borderId="5" xfId="0" applyNumberFormat="1" applyFont="1" applyBorder="1" applyAlignment="1">
      <alignment horizontal="center" vertical="center" wrapText="1"/>
    </xf>
    <xf numFmtId="49" fontId="0" fillId="4" borderId="3" xfId="0" applyNumberFormat="1" applyFont="1" applyFill="1" applyBorder="1">
      <alignment vertical="top"/>
    </xf>
    <xf numFmtId="49" fontId="0" fillId="4" borderId="8" xfId="0" applyNumberFormat="1" applyFont="1" applyFill="1" applyBorder="1">
      <alignment vertical="top"/>
    </xf>
    <xf numFmtId="49" fontId="0" fillId="14" borderId="8" xfId="0" applyNumberFormat="1" applyFont="1" applyFill="1" applyBorder="1">
      <alignment vertical="top"/>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3" borderId="3" xfId="0" applyNumberFormat="1" applyFont="1" applyFill="1" applyBorder="1">
      <alignment vertical="top"/>
    </xf>
    <xf numFmtId="49" fontId="0" fillId="15" borderId="3" xfId="0" applyNumberFormat="1" applyFont="1" applyFill="1" applyBorder="1">
      <alignment vertical="top"/>
    </xf>
    <xf numFmtId="49" fontId="0" fillId="2" borderId="3" xfId="0" applyNumberFormat="1" applyFont="1" applyFill="1" applyBorder="1">
      <alignment vertical="top"/>
    </xf>
    <xf numFmtId="49" fontId="0" fillId="0" borderId="0" xfId="0" applyNumberFormat="1" applyFont="1">
      <alignment vertical="top"/>
    </xf>
    <xf numFmtId="0" fontId="2" fillId="0" borderId="0" xfId="0" applyNumberFormat="1" applyFont="1" applyAlignment="1">
      <alignment horizontal="center" vertical="center" wrapText="1"/>
    </xf>
    <xf numFmtId="0" fontId="22" fillId="6" borderId="0" xfId="0" applyNumberFormat="1" applyFont="1" applyFill="1" applyAlignment="1">
      <alignment vertical="center" wrapText="1"/>
    </xf>
    <xf numFmtId="0" fontId="26" fillId="0" borderId="0" xfId="0" applyNumberFormat="1" applyFont="1" applyAlignment="1">
      <alignment horizontal="left" vertical="center" indent="1"/>
    </xf>
    <xf numFmtId="0" fontId="0" fillId="6" borderId="0" xfId="0" applyNumberFormat="1" applyFont="1" applyFill="1" applyAlignment="1">
      <alignment horizontal="right" vertical="center" wrapText="1" indent="1"/>
    </xf>
    <xf numFmtId="0" fontId="0" fillId="6" borderId="0" xfId="0" applyNumberFormat="1" applyFont="1" applyFill="1" applyAlignment="1">
      <alignment horizontal="left" vertical="center" wrapText="1" indent="1"/>
    </xf>
    <xf numFmtId="14" fontId="2" fillId="6" borderId="0" xfId="0" applyNumberFormat="1" applyFont="1" applyFill="1" applyAlignment="1">
      <alignment horizontal="center" vertical="center" wrapText="1"/>
    </xf>
    <xf numFmtId="164" fontId="2"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14" xfId="0" applyNumberFormat="1" applyFont="1" applyBorder="1" applyAlignment="1">
      <alignment horizontal="center" vertical="center" wrapText="1"/>
    </xf>
    <xf numFmtId="49" fontId="0" fillId="16" borderId="3" xfId="0" applyNumberFormat="1" applyFont="1" applyFill="1" applyBorder="1">
      <alignment vertical="top"/>
    </xf>
    <xf numFmtId="0" fontId="8" fillId="0" borderId="0" xfId="0" applyNumberFormat="1" applyFont="1" applyAlignment="1">
      <alignment horizontal="center" vertical="center" wrapText="1"/>
    </xf>
    <xf numFmtId="0" fontId="65" fillId="0" borderId="0" xfId="0" applyNumberFormat="1" applyFont="1" applyAlignment="1">
      <alignment horizontal="left" vertical="center" wrapText="1"/>
    </xf>
    <xf numFmtId="0" fontId="65" fillId="0" borderId="0" xfId="0" applyNumberFormat="1" applyFont="1" applyAlignment="1">
      <alignment horizontal="left" vertical="center" wrapText="1"/>
    </xf>
    <xf numFmtId="14" fontId="65" fillId="6" borderId="0" xfId="0" applyNumberFormat="1" applyFont="1" applyFill="1" applyAlignment="1">
      <alignment horizontal="left" vertical="center" wrapText="1"/>
    </xf>
    <xf numFmtId="14" fontId="66" fillId="0" borderId="0" xfId="0" applyNumberFormat="1" applyFont="1" applyAlignment="1">
      <alignment horizontal="center" vertical="center" wrapText="1"/>
    </xf>
    <xf numFmtId="0" fontId="65" fillId="0" borderId="0" xfId="0" applyNumberFormat="1" applyFont="1" applyAlignment="1">
      <alignment horizontal="left" vertical="center" wrapText="1"/>
    </xf>
    <xf numFmtId="14" fontId="67" fillId="0" borderId="3" xfId="0" applyNumberFormat="1" applyFont="1" applyBorder="1" applyAlignment="1">
      <alignment horizontal="left" vertical="center" wrapText="1"/>
    </xf>
    <xf numFmtId="0" fontId="20" fillId="0" borderId="0" xfId="0" applyNumberFormat="1" applyFont="1" applyAlignment="1">
      <alignment vertical="center"/>
    </xf>
    <xf numFmtId="49" fontId="2" fillId="8" borderId="10" xfId="0" applyNumberFormat="1" applyFont="1" applyFill="1" applyBorder="1" applyAlignment="1">
      <alignment horizontal="center" vertical="center" wrapText="1"/>
    </xf>
    <xf numFmtId="49" fontId="2" fillId="5" borderId="14" xfId="0" applyNumberFormat="1" applyFont="1" applyFill="1" applyBorder="1" applyAlignment="1">
      <alignment horizontal="center" vertical="center" wrapText="1"/>
    </xf>
    <xf numFmtId="49" fontId="19" fillId="0" borderId="3" xfId="0" applyNumberFormat="1" applyFont="1" applyBorder="1" applyAlignment="1">
      <alignment horizontal="left" vertical="center" wrapText="1"/>
    </xf>
    <xf numFmtId="14" fontId="2" fillId="11" borderId="14" xfId="0" applyNumberFormat="1" applyFont="1" applyFill="1" applyBorder="1" applyAlignment="1">
      <alignment horizontal="left" vertical="center" wrapText="1" indent="1"/>
    </xf>
    <xf numFmtId="49" fontId="2" fillId="8" borderId="5" xfId="0" applyNumberFormat="1" applyFont="1" applyFill="1" applyBorder="1" applyAlignment="1">
      <alignment horizontal="right" vertical="center" wrapText="1"/>
    </xf>
    <xf numFmtId="0" fontId="20" fillId="0" borderId="14" xfId="0" applyNumberFormat="1" applyFont="1" applyBorder="1" applyAlignment="1">
      <alignment horizontal="center" vertical="center" wrapText="1"/>
    </xf>
    <xf numFmtId="49" fontId="2" fillId="0" borderId="4" xfId="0" applyNumberFormat="1" applyFont="1" applyBorder="1" applyAlignment="1">
      <alignment horizontal="center" vertical="top"/>
    </xf>
    <xf numFmtId="49" fontId="2" fillId="0" borderId="3" xfId="0" applyNumberFormat="1" applyFont="1" applyBorder="1" applyAlignment="1">
      <alignment horizontal="center" vertical="top"/>
    </xf>
    <xf numFmtId="0" fontId="2" fillId="0" borderId="14" xfId="0" applyNumberFormat="1" applyFont="1" applyBorder="1" applyAlignment="1">
      <alignment horizontal="center" vertical="center" wrapText="1"/>
    </xf>
    <xf numFmtId="49" fontId="2" fillId="0" borderId="5" xfId="0" applyNumberFormat="1" applyFont="1" applyBorder="1" applyAlignment="1">
      <alignment horizontal="center" vertical="top"/>
    </xf>
    <xf numFmtId="0" fontId="7" fillId="0" borderId="15" xfId="0" applyNumberFormat="1" applyFont="1" applyBorder="1" applyAlignment="1">
      <alignment vertical="top" wrapText="1"/>
    </xf>
    <xf numFmtId="0" fontId="7" fillId="0" borderId="0" xfId="0" applyNumberFormat="1" applyFont="1" applyAlignment="1">
      <alignment vertical="top" wrapText="1"/>
    </xf>
    <xf numFmtId="0" fontId="20" fillId="0" borderId="3"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49" fontId="48" fillId="10" borderId="3" xfId="0" applyNumberFormat="1" applyFont="1" applyFill="1" applyBorder="1" applyAlignment="1" applyProtection="1">
      <alignment horizontal="left" vertical="center" wrapText="1" indent="1"/>
      <protection locked="0"/>
    </xf>
    <xf numFmtId="0" fontId="19" fillId="0" borderId="13" xfId="0" applyNumberFormat="1" applyFont="1" applyBorder="1" applyAlignment="1">
      <alignment vertical="center"/>
    </xf>
    <xf numFmtId="0" fontId="2" fillId="0" borderId="4"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indent="1"/>
    </xf>
    <xf numFmtId="3" fontId="2" fillId="7" borderId="5" xfId="0" applyNumberFormat="1" applyFont="1" applyFill="1" applyBorder="1" applyAlignment="1" applyProtection="1">
      <alignment horizontal="right" vertical="center" wrapText="1"/>
      <protection locked="0"/>
    </xf>
    <xf numFmtId="49" fontId="26" fillId="7"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8" fillId="6" borderId="0" xfId="0" applyNumberFormat="1" applyFont="1" applyFill="1" applyAlignment="1">
      <alignment horizontal="center" vertical="center" wrapText="1"/>
    </xf>
    <xf numFmtId="0" fontId="2" fillId="6"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7" fillId="6" borderId="6" xfId="0" applyNumberFormat="1" applyFont="1" applyFill="1" applyBorder="1" applyAlignment="1">
      <alignment horizontal="center" vertical="center" wrapText="1"/>
    </xf>
    <xf numFmtId="0" fontId="2" fillId="0" borderId="0" xfId="0" applyNumberFormat="1" applyFont="1" applyAlignment="1">
      <alignment horizontal="left" vertical="center" wrapText="1" indent="1"/>
    </xf>
    <xf numFmtId="0" fontId="54" fillId="0" borderId="8" xfId="0" applyNumberFormat="1" applyFont="1" applyBorder="1" applyAlignment="1">
      <alignment horizontal="center" vertical="center" wrapText="1"/>
    </xf>
    <xf numFmtId="49" fontId="19" fillId="0" borderId="0" xfId="0" applyNumberFormat="1" applyFont="1">
      <alignment vertical="top"/>
    </xf>
    <xf numFmtId="0" fontId="68"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2" fillId="0" borderId="0" xfId="0" applyNumberFormat="1" applyFont="1">
      <alignment vertical="top"/>
    </xf>
    <xf numFmtId="0" fontId="2" fillId="0" borderId="3" xfId="0" applyNumberFormat="1" applyFont="1" applyBorder="1" applyAlignment="1">
      <alignment horizontal="left" vertical="top" wrapText="1"/>
    </xf>
    <xf numFmtId="49" fontId="65" fillId="12" borderId="3" xfId="0" applyNumberFormat="1" applyFont="1" applyFill="1" applyBorder="1" applyAlignment="1">
      <alignment horizontal="center" vertical="top" wrapText="1"/>
    </xf>
    <xf numFmtId="49" fontId="69" fillId="0" borderId="3" xfId="0" applyNumberFormat="1" applyFont="1" applyBorder="1" applyAlignment="1">
      <alignment horizontal="left" vertical="top" wrapText="1"/>
    </xf>
    <xf numFmtId="0" fontId="69" fillId="0" borderId="3" xfId="0" applyNumberFormat="1" applyFont="1" applyBorder="1" applyAlignment="1">
      <alignment horizontal="left" vertical="top" wrapText="1"/>
    </xf>
    <xf numFmtId="0" fontId="69" fillId="12" borderId="3" xfId="0" applyNumberFormat="1" applyFont="1" applyFill="1" applyBorder="1" applyAlignment="1">
      <alignment horizontal="right" vertical="center" wrapText="1"/>
    </xf>
    <xf numFmtId="49" fontId="69" fillId="0" borderId="3" xfId="0" applyNumberFormat="1" applyFont="1" applyBorder="1" applyAlignment="1">
      <alignment vertical="top" wrapText="1"/>
    </xf>
    <xf numFmtId="0" fontId="69" fillId="0" borderId="8" xfId="0" applyNumberFormat="1" applyFont="1" applyBorder="1" applyAlignment="1">
      <alignment horizontal="left" vertical="top" wrapText="1"/>
    </xf>
    <xf numFmtId="0" fontId="69" fillId="0" borderId="4" xfId="0" applyNumberFormat="1" applyFont="1" applyBorder="1" applyAlignment="1">
      <alignment horizontal="left" vertical="top" wrapText="1"/>
    </xf>
    <xf numFmtId="0" fontId="69" fillId="0" borderId="3" xfId="0" applyNumberFormat="1" applyFont="1" applyBorder="1" applyAlignment="1">
      <alignment vertical="top" wrapText="1"/>
    </xf>
    <xf numFmtId="0" fontId="65" fillId="12" borderId="3" xfId="0" applyNumberFormat="1" applyFont="1" applyFill="1" applyBorder="1" applyAlignment="1">
      <alignment horizontal="center" vertical="top" wrapText="1"/>
    </xf>
    <xf numFmtId="0" fontId="63" fillId="0" borderId="0" xfId="0" applyNumberFormat="1" applyFont="1" applyAlignment="1">
      <alignment vertical="center" wrapText="1"/>
    </xf>
    <xf numFmtId="0" fontId="18"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2" fillId="11" borderId="5" xfId="0" applyNumberFormat="1" applyFont="1" applyFill="1" applyBorder="1" applyAlignment="1">
      <alignment horizontal="left" vertical="center" wrapText="1"/>
    </xf>
    <xf numFmtId="49" fontId="7" fillId="6" borderId="3" xfId="0" applyNumberFormat="1" applyFont="1" applyFill="1" applyBorder="1" applyAlignment="1">
      <alignment horizontal="center" vertical="center" wrapText="1"/>
    </xf>
    <xf numFmtId="49" fontId="43" fillId="8" borderId="4" xfId="0" applyNumberFormat="1" applyFont="1" applyFill="1" applyBorder="1" applyAlignment="1">
      <alignment vertical="center"/>
    </xf>
    <xf numFmtId="49" fontId="2" fillId="6" borderId="0" xfId="0" applyNumberFormat="1" applyFont="1" applyFill="1" applyAlignment="1">
      <alignment horizontal="center" vertical="center" wrapText="1"/>
    </xf>
    <xf numFmtId="0" fontId="2" fillId="6" borderId="0" xfId="0" applyNumberFormat="1" applyFont="1" applyFill="1" applyAlignment="1">
      <alignment horizontal="center" vertical="top" wrapText="1"/>
    </xf>
    <xf numFmtId="49" fontId="0" fillId="10" borderId="3" xfId="0" applyNumberFormat="1" applyFont="1" applyFill="1" applyBorder="1" applyAlignment="1" applyProtection="1">
      <alignment horizontal="left" vertical="center" wrapText="1" indent="1"/>
      <protection locked="0"/>
    </xf>
    <xf numFmtId="49" fontId="2" fillId="10" borderId="5" xfId="0" applyNumberFormat="1" applyFont="1" applyFill="1" applyBorder="1" applyAlignment="1" applyProtection="1">
      <alignment horizontal="left" vertical="center" wrapText="1"/>
      <protection locked="0"/>
    </xf>
    <xf numFmtId="49" fontId="2" fillId="10" borderId="3" xfId="0" quotePrefix="1" applyNumberFormat="1" applyFont="1" applyFill="1" applyBorder="1" applyAlignment="1" applyProtection="1">
      <alignment horizontal="left" vertical="center" wrapText="1"/>
      <protection locked="0"/>
    </xf>
    <xf numFmtId="14" fontId="2" fillId="11" borderId="14" xfId="0" applyNumberFormat="1" applyFont="1" applyFill="1" applyBorder="1" applyAlignment="1">
      <alignment horizontal="left" vertical="center" wrapText="1"/>
    </xf>
    <xf numFmtId="0" fontId="20" fillId="6" borderId="14" xfId="0" applyNumberFormat="1" applyFont="1" applyFill="1" applyBorder="1" applyAlignment="1">
      <alignment horizontal="center" vertical="center" wrapText="1"/>
    </xf>
    <xf numFmtId="0" fontId="8" fillId="6" borderId="15" xfId="0" applyNumberFormat="1" applyFont="1" applyFill="1" applyBorder="1" applyAlignment="1">
      <alignment vertical="top" wrapText="1"/>
    </xf>
    <xf numFmtId="0" fontId="8" fillId="6" borderId="0" xfId="0" applyNumberFormat="1" applyFont="1" applyFill="1" applyAlignment="1">
      <alignment vertical="top" wrapText="1"/>
    </xf>
    <xf numFmtId="14" fontId="2" fillId="11" borderId="20"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wrapText="1"/>
    </xf>
    <xf numFmtId="0" fontId="12" fillId="8" borderId="6" xfId="0" applyNumberFormat="1" applyFont="1" applyFill="1" applyBorder="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wrapText="1"/>
    </xf>
    <xf numFmtId="49" fontId="19" fillId="0" borderId="0" xfId="0" applyNumberFormat="1" applyFont="1" applyAlignment="1">
      <alignment vertical="center" wrapText="1"/>
    </xf>
    <xf numFmtId="49" fontId="19" fillId="0" borderId="0" xfId="0" applyNumberFormat="1" applyFont="1">
      <alignment vertical="top"/>
    </xf>
    <xf numFmtId="0" fontId="61" fillId="0" borderId="0" xfId="0" applyNumberFormat="1" applyFont="1" applyAlignment="1">
      <alignment vertical="center" wrapText="1"/>
    </xf>
    <xf numFmtId="0" fontId="70" fillId="0" borderId="0" xfId="0" applyNumberFormat="1" applyFont="1" applyAlignment="1">
      <alignment vertical="center" wrapText="1"/>
    </xf>
    <xf numFmtId="0" fontId="19" fillId="0" borderId="0" xfId="0" applyNumberFormat="1" applyFont="1" applyAlignment="1">
      <alignment vertical="center" wrapText="1"/>
    </xf>
    <xf numFmtId="0" fontId="61" fillId="0" borderId="0" xfId="0" applyNumberFormat="1" applyFont="1" applyAlignment="1">
      <alignment horizontal="center" vertical="center" wrapText="1"/>
    </xf>
    <xf numFmtId="0" fontId="19" fillId="0" borderId="0" xfId="0" applyNumberFormat="1" applyFont="1" applyAlignment="1">
      <alignment vertical="center" wrapText="1"/>
    </xf>
    <xf numFmtId="14" fontId="2" fillId="6" borderId="0" xfId="0" applyNumberFormat="1" applyFont="1" applyFill="1" applyAlignment="1">
      <alignment horizontal="left" vertical="center" wrapText="1"/>
    </xf>
    <xf numFmtId="49" fontId="0" fillId="3" borderId="5" xfId="0" applyNumberFormat="1" applyFont="1" applyFill="1" applyBorder="1">
      <alignment vertical="top"/>
    </xf>
    <xf numFmtId="49" fontId="0" fillId="0" borderId="3" xfId="0" applyNumberFormat="1" applyFont="1" applyBorder="1" applyAlignment="1">
      <alignment horizontal="left" vertical="center" wrapText="1"/>
    </xf>
    <xf numFmtId="49" fontId="2"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0" fontId="0" fillId="6" borderId="3" xfId="0" applyNumberFormat="1" applyFont="1" applyFill="1" applyBorder="1" applyAlignment="1">
      <alignment horizontal="center" vertical="center" wrapText="1"/>
    </xf>
    <xf numFmtId="0" fontId="0" fillId="10" borderId="5" xfId="0" applyNumberFormat="1" applyFont="1" applyFill="1" applyBorder="1" applyAlignment="1" applyProtection="1">
      <alignment horizontal="left" vertical="center" wrapText="1" indent="2"/>
      <protection locked="0"/>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71" fillId="6" borderId="0" xfId="0" applyNumberFormat="1" applyFont="1" applyFill="1" applyAlignment="1">
      <alignment horizontal="right" vertical="center"/>
    </xf>
    <xf numFmtId="0" fontId="2" fillId="10" borderId="3" xfId="0" applyNumberFormat="1" applyFont="1" applyFill="1" applyBorder="1" applyAlignment="1" applyProtection="1">
      <alignment horizontal="center" vertical="center" wrapText="1"/>
      <protection locked="0"/>
    </xf>
    <xf numFmtId="49" fontId="69" fillId="0" borderId="4" xfId="0" applyNumberFormat="1" applyFont="1" applyBorder="1" applyAlignment="1">
      <alignment horizontal="left" vertical="top" wrapText="1"/>
    </xf>
    <xf numFmtId="49" fontId="69" fillId="0" borderId="5" xfId="0" applyNumberFormat="1" applyFont="1" applyBorder="1" applyAlignment="1">
      <alignment horizontal="left" vertical="top" wrapText="1"/>
    </xf>
    <xf numFmtId="0" fontId="69" fillId="0" borderId="8" xfId="0" applyNumberFormat="1" applyFont="1" applyBorder="1" applyAlignment="1">
      <alignment vertical="top" wrapText="1"/>
    </xf>
    <xf numFmtId="0" fontId="69" fillId="0" borderId="27" xfId="0" applyNumberFormat="1" applyFont="1" applyBorder="1" applyAlignment="1">
      <alignment horizontal="left" vertical="top" wrapText="1"/>
    </xf>
    <xf numFmtId="49" fontId="69" fillId="0" borderId="21" xfId="0" applyNumberFormat="1" applyFont="1" applyBorder="1" applyAlignment="1">
      <alignment horizontal="left" vertical="top"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69" fillId="0" borderId="3" xfId="0" applyNumberFormat="1" applyFont="1" applyBorder="1" applyAlignment="1">
      <alignment horizontal="center" vertical="top" wrapText="1"/>
    </xf>
    <xf numFmtId="0" fontId="69" fillId="12" borderId="3" xfId="0" applyNumberFormat="1" applyFont="1" applyFill="1" applyBorder="1" applyAlignment="1">
      <alignment horizontal="center" vertical="center" wrapText="1"/>
    </xf>
    <xf numFmtId="49" fontId="69" fillId="0" borderId="28" xfId="0" applyNumberFormat="1" applyFont="1" applyBorder="1" applyAlignment="1">
      <alignment horizontal="center" vertical="top" wrapText="1"/>
    </xf>
    <xf numFmtId="49" fontId="69" fillId="0" borderId="8" xfId="0" applyNumberFormat="1" applyFont="1" applyBorder="1" applyAlignment="1">
      <alignment horizontal="center" vertical="top" wrapText="1"/>
    </xf>
    <xf numFmtId="49" fontId="12" fillId="8" borderId="5" xfId="0" applyNumberFormat="1" applyFont="1" applyFill="1" applyBorder="1" applyAlignment="1">
      <alignment horizontal="left" vertical="center" indent="1"/>
    </xf>
    <xf numFmtId="0" fontId="0" fillId="6" borderId="8"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49" fontId="72" fillId="0" borderId="0" xfId="0" applyNumberFormat="1" applyFont="1" applyAlignment="1">
      <alignment horizontal="center" vertical="center" wrapText="1"/>
    </xf>
    <xf numFmtId="0" fontId="2"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19"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49" fontId="2" fillId="0" borderId="0" xfId="0" applyNumberFormat="1" applyFont="1">
      <alignment vertical="top"/>
    </xf>
    <xf numFmtId="0" fontId="2" fillId="0" borderId="0" xfId="0" applyNumberFormat="1" applyFont="1" applyAlignment="1">
      <alignment vertical="center"/>
    </xf>
    <xf numFmtId="0" fontId="0" fillId="6" borderId="8" xfId="0" applyNumberFormat="1" applyFont="1" applyFill="1" applyBorder="1" applyAlignment="1">
      <alignment horizontal="center" vertical="center" wrapText="1"/>
    </xf>
    <xf numFmtId="0" fontId="0" fillId="6" borderId="28" xfId="0" applyNumberFormat="1" applyFont="1" applyFill="1" applyBorder="1" applyAlignment="1">
      <alignment horizontal="center" vertical="center" wrapText="1"/>
    </xf>
    <xf numFmtId="0" fontId="2" fillId="8" borderId="20" xfId="0" applyNumberFormat="1" applyFont="1" applyFill="1" applyBorder="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49" fontId="73" fillId="0" borderId="0" xfId="0" applyNumberFormat="1" applyFont="1" applyAlignment="1">
      <alignment vertical="center"/>
    </xf>
    <xf numFmtId="49" fontId="17" fillId="0" borderId="0" xfId="0" applyNumberFormat="1" applyFont="1" applyAlignment="1">
      <alignment vertical="center"/>
    </xf>
    <xf numFmtId="49" fontId="17" fillId="0" borderId="0" xfId="0" applyNumberFormat="1" applyFont="1" applyAlignment="1">
      <alignment vertical="center"/>
    </xf>
    <xf numFmtId="49" fontId="73" fillId="0" borderId="0" xfId="0" applyNumberFormat="1" applyFont="1" applyAlignment="1">
      <alignment vertical="center" wrapText="1"/>
    </xf>
    <xf numFmtId="49" fontId="17" fillId="0" borderId="0" xfId="0" applyNumberFormat="1" applyFont="1" applyAlignment="1">
      <alignment vertical="center" wrapText="1"/>
    </xf>
    <xf numFmtId="49" fontId="17" fillId="0" borderId="0" xfId="0" applyNumberFormat="1" applyFont="1">
      <alignment vertical="top"/>
    </xf>
    <xf numFmtId="49" fontId="17" fillId="0" borderId="0" xfId="0" applyNumberFormat="1" applyFont="1" applyAlignment="1">
      <alignment vertical="center" wrapText="1"/>
    </xf>
    <xf numFmtId="49" fontId="73"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7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17" fillId="6" borderId="0" xfId="0" applyNumberFormat="1" applyFont="1" applyFill="1" applyAlignment="1">
      <alignment vertical="center" wrapText="1"/>
    </xf>
    <xf numFmtId="49" fontId="17" fillId="0" borderId="0" xfId="0" applyNumberFormat="1" applyFont="1">
      <alignment vertical="top"/>
    </xf>
    <xf numFmtId="49" fontId="17" fillId="6" borderId="0" xfId="0" applyNumberFormat="1" applyFont="1" applyFill="1" applyAlignment="1">
      <alignment vertical="center"/>
    </xf>
    <xf numFmtId="49" fontId="73" fillId="0" borderId="0" xfId="0" applyNumberFormat="1" applyFont="1" applyAlignment="1">
      <alignment vertical="center"/>
    </xf>
    <xf numFmtId="49" fontId="17" fillId="0" borderId="0" xfId="0" applyNumberFormat="1" applyFont="1">
      <alignment vertical="top"/>
    </xf>
    <xf numFmtId="4" fontId="17" fillId="6" borderId="0" xfId="0" applyNumberFormat="1" applyFont="1" applyFill="1" applyAlignment="1">
      <alignment vertical="center"/>
    </xf>
    <xf numFmtId="3" fontId="17" fillId="7" borderId="3" xfId="0" applyNumberFormat="1" applyFont="1" applyFill="1" applyBorder="1" applyAlignment="1" applyProtection="1">
      <alignment horizontal="right" vertical="center"/>
      <protection locked="0"/>
    </xf>
    <xf numFmtId="49" fontId="3" fillId="0" borderId="0" xfId="0" applyNumberFormat="1" applyFont="1" applyAlignment="1">
      <alignment horizontal="center" vertical="center" wrapText="1"/>
    </xf>
    <xf numFmtId="49" fontId="2" fillId="6" borderId="0" xfId="0" applyNumberFormat="1" applyFont="1" applyFill="1" applyAlignment="1">
      <alignment horizontal="center" vertical="center" wrapText="1"/>
    </xf>
    <xf numFmtId="49" fontId="20" fillId="0" borderId="4" xfId="0" applyNumberFormat="1" applyFont="1" applyBorder="1" applyAlignment="1">
      <alignment horizontal="left" vertical="center" indent="1"/>
    </xf>
    <xf numFmtId="0" fontId="2" fillId="0" borderId="15" xfId="0" applyNumberFormat="1" applyFont="1" applyBorder="1" applyAlignment="1">
      <alignment vertical="top" wrapText="1"/>
    </xf>
    <xf numFmtId="0" fontId="2" fillId="0" borderId="5"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NumberFormat="1" applyFont="1" applyBorder="1" applyAlignment="1">
      <alignment horizontal="left" vertical="center" wrapText="1" indent="1"/>
    </xf>
    <xf numFmtId="49" fontId="2" fillId="10" borderId="3" xfId="0" applyNumberFormat="1" applyFont="1" applyFill="1" applyBorder="1" applyAlignment="1" applyProtection="1">
      <alignment horizontal="left" vertical="center" wrapText="1"/>
      <protection locked="0"/>
    </xf>
    <xf numFmtId="0" fontId="8" fillId="0" borderId="0" xfId="0" applyNumberFormat="1" applyFont="1" applyAlignment="1">
      <alignment horizontal="center" vertical="center" wrapText="1"/>
    </xf>
    <xf numFmtId="49" fontId="65" fillId="0" borderId="3" xfId="0" applyNumberFormat="1" applyFont="1" applyBorder="1" applyAlignment="1">
      <alignment horizontal="center" vertical="center" wrapText="1"/>
    </xf>
    <xf numFmtId="0" fontId="65" fillId="0" borderId="3" xfId="0" applyNumberFormat="1" applyFont="1" applyBorder="1" applyAlignment="1">
      <alignment horizontal="center" vertical="center" wrapText="1"/>
    </xf>
    <xf numFmtId="49" fontId="65" fillId="0" borderId="8" xfId="0" applyNumberFormat="1" applyFont="1" applyBorder="1" applyAlignment="1">
      <alignment horizontal="center" vertical="center" wrapText="1"/>
    </xf>
    <xf numFmtId="49" fontId="65" fillId="0" borderId="14" xfId="0" applyNumberFormat="1" applyFont="1" applyBorder="1" applyAlignment="1">
      <alignment horizontal="center" vertical="center" wrapText="1"/>
    </xf>
    <xf numFmtId="0" fontId="65" fillId="0" borderId="8" xfId="0" applyNumberFormat="1" applyFont="1" applyBorder="1" applyAlignment="1">
      <alignment horizontal="center" vertical="center" wrapText="1"/>
    </xf>
    <xf numFmtId="49" fontId="69" fillId="0" borderId="13" xfId="0" applyNumberFormat="1" applyFont="1" applyBorder="1" applyAlignment="1">
      <alignment horizontal="center" vertical="top" wrapText="1"/>
    </xf>
    <xf numFmtId="49" fontId="69" fillId="0" borderId="27" xfId="0" applyNumberFormat="1" applyFont="1" applyBorder="1" applyAlignment="1">
      <alignment horizontal="left" vertical="top" wrapText="1"/>
    </xf>
    <xf numFmtId="0" fontId="65" fillId="0" borderId="3" xfId="0" applyNumberFormat="1" applyFont="1" applyBorder="1" applyAlignment="1">
      <alignment vertical="center" wrapText="1"/>
    </xf>
    <xf numFmtId="0" fontId="65" fillId="0" borderId="8" xfId="0" applyNumberFormat="1" applyFont="1" applyBorder="1" applyAlignment="1">
      <alignment vertical="center" wrapText="1"/>
    </xf>
    <xf numFmtId="0" fontId="65" fillId="0" borderId="14" xfId="0" applyNumberFormat="1" applyFont="1" applyBorder="1" applyAlignment="1">
      <alignment vertical="center" wrapText="1"/>
    </xf>
    <xf numFmtId="49" fontId="65" fillId="0" borderId="3" xfId="0" applyNumberFormat="1" applyFont="1" applyBorder="1" applyAlignment="1">
      <alignment horizontal="left" vertical="top" wrapText="1"/>
    </xf>
    <xf numFmtId="166" fontId="2" fillId="10" borderId="8"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0" fontId="46" fillId="0" borderId="0" xfId="0" applyNumberFormat="1" applyFont="1" applyAlignment="1">
      <alignment horizontal="center" vertical="center" wrapText="1"/>
    </xf>
    <xf numFmtId="4" fontId="2" fillId="10" borderId="4" xfId="0" applyNumberFormat="1" applyFont="1" applyFill="1" applyBorder="1" applyAlignment="1" applyProtection="1">
      <alignment horizontal="right" vertical="center" wrapText="1"/>
      <protection locked="0"/>
    </xf>
    <xf numFmtId="166" fontId="2" fillId="10" borderId="4" xfId="0" applyNumberFormat="1" applyFont="1" applyFill="1" applyBorder="1" applyAlignment="1" applyProtection="1">
      <alignment horizontal="right" vertical="center" wrapText="1"/>
      <protection locked="0"/>
    </xf>
    <xf numFmtId="166" fontId="2" fillId="5" borderId="4" xfId="0" applyNumberFormat="1" applyFont="1" applyFill="1" applyBorder="1" applyAlignment="1">
      <alignment horizontal="right" vertical="center" wrapText="1"/>
    </xf>
    <xf numFmtId="4" fontId="2" fillId="10" borderId="20" xfId="0" applyNumberFormat="1" applyFont="1" applyFill="1" applyBorder="1" applyAlignment="1" applyProtection="1">
      <alignment horizontal="right" vertical="center" wrapText="1"/>
      <protection locked="0"/>
    </xf>
    <xf numFmtId="49" fontId="65" fillId="12" borderId="3" xfId="0" applyNumberFormat="1" applyFont="1" applyFill="1" applyBorder="1" applyAlignment="1">
      <alignment horizontal="center" vertical="top"/>
    </xf>
    <xf numFmtId="49" fontId="65" fillId="0" borderId="3" xfId="0" applyNumberFormat="1" applyFont="1" applyBorder="1" applyAlignment="1">
      <alignment horizontal="center" vertical="top" wrapText="1"/>
    </xf>
    <xf numFmtId="49" fontId="65" fillId="0" borderId="3" xfId="0" applyNumberFormat="1" applyFont="1" applyBorder="1" applyAlignment="1">
      <alignment vertical="top" wrapText="1"/>
    </xf>
    <xf numFmtId="0" fontId="65" fillId="0" borderId="3" xfId="0" applyNumberFormat="1" applyFont="1" applyBorder="1" applyAlignment="1">
      <alignment vertical="top" wrapText="1"/>
    </xf>
    <xf numFmtId="49" fontId="65" fillId="0" borderId="3" xfId="0" applyNumberFormat="1" applyFont="1" applyBorder="1">
      <alignment vertical="top"/>
    </xf>
    <xf numFmtId="49" fontId="69" fillId="0" borderId="3" xfId="0" applyNumberFormat="1" applyFont="1" applyBorder="1">
      <alignment vertical="top"/>
    </xf>
    <xf numFmtId="49" fontId="65" fillId="0" borderId="0" xfId="0" applyNumberFormat="1" applyFont="1" applyAlignment="1">
      <alignment horizontal="center" vertical="center" wrapText="1"/>
    </xf>
    <xf numFmtId="49" fontId="65" fillId="0" borderId="0" xfId="0" applyNumberFormat="1" applyFont="1" applyAlignment="1">
      <alignment horizontal="left" vertical="center" wrapText="1"/>
    </xf>
    <xf numFmtId="49" fontId="65" fillId="17" borderId="0" xfId="0" applyNumberFormat="1" applyFont="1" applyFill="1" applyAlignment="1">
      <alignment horizontal="center" vertical="center" wrapText="1"/>
    </xf>
    <xf numFmtId="0" fontId="65" fillId="0" borderId="0" xfId="0" applyNumberFormat="1" applyFont="1" applyAlignment="1">
      <alignment vertical="center" wrapText="1"/>
    </xf>
    <xf numFmtId="0" fontId="20" fillId="0" borderId="3" xfId="0" applyNumberFormat="1" applyFont="1" applyBorder="1" applyAlignment="1">
      <alignment horizontal="left" vertical="center" wrapText="1" indent="3"/>
    </xf>
    <xf numFmtId="49" fontId="20" fillId="0" borderId="3" xfId="0" applyNumberFormat="1" applyFont="1" applyBorder="1" applyAlignment="1">
      <alignment vertical="center" wrapText="1"/>
    </xf>
    <xf numFmtId="0" fontId="20" fillId="0" borderId="8" xfId="0" applyNumberFormat="1" applyFont="1" applyBorder="1" applyAlignment="1">
      <alignment vertical="top" wrapText="1"/>
    </xf>
    <xf numFmtId="0" fontId="20" fillId="0" borderId="27" xfId="0" applyNumberFormat="1" applyFont="1" applyBorder="1" applyAlignment="1">
      <alignment horizontal="left" vertical="center" wrapText="1" indent="1"/>
    </xf>
    <xf numFmtId="0" fontId="20" fillId="0" borderId="27" xfId="0" applyNumberFormat="1" applyFont="1" applyBorder="1" applyAlignment="1">
      <alignment horizontal="center" vertical="center" wrapText="1"/>
    </xf>
    <xf numFmtId="0" fontId="20" fillId="0" borderId="8" xfId="0" applyNumberFormat="1" applyFont="1" applyBorder="1" applyAlignment="1">
      <alignment vertical="center" wrapText="1"/>
    </xf>
    <xf numFmtId="0" fontId="20" fillId="0" borderId="14" xfId="0" applyNumberFormat="1" applyFont="1" applyBorder="1" applyAlignment="1">
      <alignment horizontal="left" vertical="center" wrapText="1" indent="1"/>
    </xf>
    <xf numFmtId="0" fontId="20" fillId="0" borderId="8" xfId="0" applyNumberFormat="1" applyFont="1" applyBorder="1" applyAlignment="1">
      <alignment horizontal="left" vertical="center" wrapText="1" indent="1"/>
    </xf>
    <xf numFmtId="49" fontId="69" fillId="12" borderId="3" xfId="0" applyNumberFormat="1" applyFont="1" applyFill="1" applyBorder="1" applyAlignment="1">
      <alignment horizontal="center" vertical="top" wrapText="1"/>
    </xf>
    <xf numFmtId="49" fontId="69" fillId="12" borderId="3" xfId="0" applyNumberFormat="1" applyFont="1" applyFill="1" applyBorder="1" applyAlignment="1">
      <alignment horizontal="left" vertical="top" wrapText="1"/>
    </xf>
    <xf numFmtId="0" fontId="65" fillId="0" borderId="5" xfId="0" applyNumberFormat="1" applyFont="1" applyBorder="1" applyAlignment="1">
      <alignment horizontal="center" vertical="center" wrapText="1"/>
    </xf>
    <xf numFmtId="0" fontId="2" fillId="0" borderId="14" xfId="0" applyNumberFormat="1" applyFont="1" applyBorder="1" applyAlignment="1">
      <alignment vertical="top" wrapText="1"/>
    </xf>
    <xf numFmtId="0" fontId="2" fillId="0" borderId="14" xfId="0" applyNumberFormat="1" applyFont="1" applyBorder="1" applyAlignment="1">
      <alignment vertical="top" wrapText="1"/>
    </xf>
    <xf numFmtId="0" fontId="65" fillId="0" borderId="5" xfId="0" applyNumberFormat="1" applyFont="1" applyBorder="1" applyAlignment="1">
      <alignment horizontal="center" vertical="center"/>
    </xf>
    <xf numFmtId="49" fontId="20" fillId="6" borderId="3" xfId="0" applyNumberFormat="1" applyFont="1" applyFill="1" applyBorder="1" applyAlignment="1">
      <alignment horizontal="center" vertical="center"/>
    </xf>
    <xf numFmtId="0" fontId="20" fillId="6" borderId="3" xfId="0" applyNumberFormat="1" applyFont="1" applyFill="1" applyBorder="1" applyAlignment="1">
      <alignment horizontal="left" vertical="center" wrapText="1" indent="1"/>
    </xf>
    <xf numFmtId="0" fontId="20" fillId="6" borderId="3" xfId="0" applyNumberFormat="1" applyFont="1" applyFill="1" applyBorder="1" applyAlignment="1">
      <alignment vertical="center" wrapText="1"/>
    </xf>
    <xf numFmtId="49" fontId="20" fillId="0" borderId="3" xfId="0" applyNumberFormat="1" applyFont="1" applyBorder="1" applyAlignment="1">
      <alignment horizontal="center" vertical="center"/>
    </xf>
    <xf numFmtId="0" fontId="20" fillId="0" borderId="3" xfId="0" applyNumberFormat="1" applyFont="1" applyBorder="1" applyAlignment="1">
      <alignment horizontal="left" vertical="center" wrapText="1" inden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0" fontId="20" fillId="0" borderId="3" xfId="0" applyNumberFormat="1" applyFont="1" applyBorder="1" applyAlignment="1">
      <alignment horizontal="center" vertical="center" wrapText="1"/>
    </xf>
    <xf numFmtId="0" fontId="20" fillId="6" borderId="3" xfId="0" applyNumberFormat="1" applyFont="1" applyFill="1" applyBorder="1" applyAlignment="1">
      <alignment horizontal="left" vertical="center" wrapText="1" indent="2"/>
    </xf>
    <xf numFmtId="49" fontId="20" fillId="0" borderId="3" xfId="0" applyNumberFormat="1" applyFont="1" applyBorder="1" applyAlignment="1">
      <alignment horizontal="left" vertical="center" wrapText="1"/>
    </xf>
    <xf numFmtId="49" fontId="20" fillId="0" borderId="3" xfId="0" applyNumberFormat="1" applyFont="1" applyBorder="1" applyAlignment="1">
      <alignment horizontal="left" vertical="center" wrapText="1"/>
    </xf>
    <xf numFmtId="2" fontId="2" fillId="0" borderId="14" xfId="0" applyNumberFormat="1" applyFont="1" applyBorder="1" applyAlignment="1">
      <alignment horizontal="center" vertical="center" wrapText="1"/>
    </xf>
    <xf numFmtId="0" fontId="74" fillId="0" borderId="0" xfId="0" applyNumberFormat="1" applyFont="1" applyAlignment="1">
      <alignment horizontal="center" vertical="center" wrapText="1"/>
    </xf>
    <xf numFmtId="0" fontId="75" fillId="6" borderId="0" xfId="0" applyNumberFormat="1" applyFont="1" applyFill="1" applyAlignment="1">
      <alignment horizontal="right" vertical="center"/>
    </xf>
    <xf numFmtId="0" fontId="2" fillId="0" borderId="14"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0" fillId="0" borderId="18" xfId="0" applyNumberFormat="1" applyFont="1" applyBorder="1" applyAlignment="1">
      <alignment vertical="center" wrapText="1"/>
    </xf>
    <xf numFmtId="49" fontId="26" fillId="0" borderId="5" xfId="0" applyNumberFormat="1" applyFont="1" applyBorder="1" applyAlignment="1">
      <alignment horizontal="left" vertical="center" wrapText="1"/>
    </xf>
    <xf numFmtId="49" fontId="26" fillId="0" borderId="6" xfId="0" applyNumberFormat="1" applyFont="1" applyBorder="1" applyAlignment="1">
      <alignment horizontal="left" vertical="center" wrapText="1"/>
    </xf>
    <xf numFmtId="49" fontId="20"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 fontId="2" fillId="0" borderId="8" xfId="0" applyNumberFormat="1" applyFont="1" applyBorder="1" applyAlignment="1">
      <alignment horizontal="center" vertical="center" wrapText="1"/>
    </xf>
    <xf numFmtId="4" fontId="2" fillId="0" borderId="23" xfId="0" applyNumberFormat="1" applyFont="1" applyBorder="1" applyAlignment="1">
      <alignment horizontal="center" vertical="center" wrapText="1"/>
    </xf>
    <xf numFmtId="49" fontId="26" fillId="0" borderId="28" xfId="0" applyNumberFormat="1" applyFont="1" applyBorder="1" applyAlignment="1">
      <alignment horizontal="left" vertical="center" wrapText="1"/>
    </xf>
    <xf numFmtId="49" fontId="26" fillId="0" borderId="21" xfId="0" applyNumberFormat="1" applyFont="1" applyBorder="1" applyAlignment="1">
      <alignment horizontal="left" vertical="center" wrapText="1"/>
    </xf>
    <xf numFmtId="0" fontId="2" fillId="0" borderId="27" xfId="0" applyNumberFormat="1" applyFont="1" applyBorder="1" applyAlignment="1">
      <alignment vertical="center" wrapText="1"/>
    </xf>
    <xf numFmtId="0" fontId="2" fillId="0" borderId="23"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 fillId="0" borderId="0" xfId="0" applyNumberFormat="1" applyFont="1" applyAlignment="1">
      <alignment vertical="top" wrapText="1"/>
    </xf>
    <xf numFmtId="0" fontId="2" fillId="0" borderId="0" xfId="0" applyNumberFormat="1" applyFont="1">
      <alignment vertical="top"/>
    </xf>
    <xf numFmtId="4" fontId="2" fillId="0" borderId="31" xfId="0" applyNumberFormat="1" applyFont="1" applyBorder="1" applyAlignment="1">
      <alignment horizontal="center" vertical="center" wrapText="1"/>
    </xf>
    <xf numFmtId="0" fontId="20" fillId="0" borderId="0" xfId="0" applyNumberFormat="1" applyFont="1" applyAlignment="1">
      <alignment horizontal="center" vertical="top"/>
    </xf>
    <xf numFmtId="49" fontId="20" fillId="0" borderId="0" xfId="0" applyNumberFormat="1" applyFont="1">
      <alignment vertical="top"/>
    </xf>
    <xf numFmtId="0" fontId="20" fillId="0" borderId="14" xfId="0" applyNumberFormat="1" applyFont="1" applyBorder="1" applyAlignment="1">
      <alignment vertical="center" wrapText="1"/>
    </xf>
    <xf numFmtId="4" fontId="20" fillId="0" borderId="3" xfId="0" applyNumberFormat="1" applyFont="1" applyBorder="1" applyAlignment="1">
      <alignment horizontal="right" vertical="center" wrapText="1"/>
    </xf>
    <xf numFmtId="2" fontId="20" fillId="0" borderId="14" xfId="0" applyNumberFormat="1" applyFont="1" applyBorder="1" applyAlignment="1">
      <alignment horizontal="center" vertical="center" wrapText="1"/>
    </xf>
    <xf numFmtId="0" fontId="20" fillId="0" borderId="3" xfId="0" applyNumberFormat="1" applyFont="1" applyBorder="1" applyAlignment="1">
      <alignment horizontal="left" vertical="center" wrapText="1"/>
    </xf>
    <xf numFmtId="49" fontId="20" fillId="0" borderId="5" xfId="0" applyNumberFormat="1" applyFont="1" applyBorder="1" applyAlignment="1">
      <alignment horizontal="left" vertical="center"/>
    </xf>
    <xf numFmtId="49" fontId="20" fillId="0" borderId="6" xfId="0" applyNumberFormat="1" applyFont="1" applyBorder="1" applyAlignment="1">
      <alignment horizontal="left" vertical="center" indent="1"/>
    </xf>
    <xf numFmtId="49" fontId="20" fillId="0" borderId="6" xfId="0" applyNumberFormat="1" applyFont="1" applyBorder="1" applyAlignment="1">
      <alignment horizontal="left" vertical="center"/>
    </xf>
    <xf numFmtId="0" fontId="20" fillId="0" borderId="3" xfId="0" applyNumberFormat="1" applyFont="1" applyBorder="1" applyAlignment="1">
      <alignment horizontal="left" vertical="center" indent="1"/>
    </xf>
    <xf numFmtId="49" fontId="12" fillId="0" borderId="10" xfId="0" applyNumberFormat="1" applyFont="1" applyBorder="1" applyAlignment="1">
      <alignment horizontal="right" vertical="center"/>
    </xf>
    <xf numFmtId="0" fontId="2" fillId="11" borderId="3" xfId="0" applyNumberFormat="1" applyFont="1" applyFill="1" applyBorder="1" applyAlignment="1">
      <alignment horizontal="left" vertical="center" wrapText="1" inden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34" fillId="6" borderId="0" xfId="0" applyNumberFormat="1" applyFont="1" applyFill="1" applyAlignment="1">
      <alignment horizontal="left" vertical="center" wrapText="1" indent="1"/>
    </xf>
    <xf numFmtId="0" fontId="2" fillId="0" borderId="0" xfId="0" applyNumberFormat="1" applyFont="1" applyAlignment="1">
      <alignment horizontal="left" vertical="center" wrapText="1" indent="1"/>
    </xf>
    <xf numFmtId="49" fontId="26" fillId="7" borderId="4" xfId="0" applyNumberFormat="1" applyFont="1" applyFill="1" applyBorder="1" applyAlignment="1" applyProtection="1">
      <alignment horizontal="left" vertical="center" wrapText="1"/>
      <protection locked="0"/>
    </xf>
    <xf numFmtId="49" fontId="2" fillId="0" borderId="0" xfId="0" applyNumberFormat="1" applyFont="1" applyAlignment="1">
      <alignment horizontal="center" vertical="center" wrapText="1"/>
    </xf>
    <xf numFmtId="0" fontId="2" fillId="0" borderId="10" xfId="0" applyNumberFormat="1" applyFont="1" applyBorder="1" applyAlignment="1">
      <alignment vertical="center" wrapText="1"/>
    </xf>
    <xf numFmtId="0" fontId="2" fillId="0" borderId="18" xfId="0" applyNumberFormat="1" applyFont="1" applyBorder="1" applyAlignment="1">
      <alignment vertical="center" wrapText="1"/>
    </xf>
    <xf numFmtId="49" fontId="2" fillId="8" borderId="32" xfId="0" applyNumberFormat="1" applyFont="1" applyFill="1" applyBorder="1" applyAlignment="1">
      <alignment horizontal="center" vertical="center" wrapText="1"/>
    </xf>
    <xf numFmtId="49" fontId="22" fillId="8" borderId="33" xfId="0" applyNumberFormat="1" applyFont="1" applyFill="1" applyBorder="1" applyAlignment="1">
      <alignment horizontal="right" vertical="center" wrapText="1"/>
    </xf>
    <xf numFmtId="49" fontId="22" fillId="8" borderId="34" xfId="0" applyNumberFormat="1" applyFont="1" applyFill="1" applyBorder="1" applyAlignment="1">
      <alignment horizontal="right" vertical="center" wrapText="1"/>
    </xf>
    <xf numFmtId="49" fontId="17" fillId="0" borderId="0" xfId="0" applyNumberFormat="1" applyFont="1">
      <alignment vertical="top"/>
    </xf>
    <xf numFmtId="0" fontId="17" fillId="0" borderId="0" xfId="0" applyNumberFormat="1" applyFont="1" applyAlignment="1">
      <alignment vertical="center" wrapText="1"/>
    </xf>
    <xf numFmtId="49" fontId="68" fillId="0" borderId="0" xfId="0" applyNumberFormat="1" applyFont="1" applyAlignment="1">
      <alignment vertical="center" wrapText="1"/>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0" fontId="0" fillId="20" borderId="3" xfId="0" applyNumberFormat="1" applyFont="1" applyFill="1" applyBorder="1" applyAlignment="1">
      <alignment horizontal="center" vertical="center"/>
    </xf>
    <xf numFmtId="49" fontId="0" fillId="0" borderId="0" xfId="0" applyNumberFormat="1" applyFont="1" applyAlignment="1">
      <alignment vertical="center"/>
    </xf>
    <xf numFmtId="49" fontId="19" fillId="18" borderId="3" xfId="0" applyNumberFormat="1" applyFont="1" applyFill="1" applyBorder="1" applyAlignment="1">
      <alignment horizontal="center" vertical="center"/>
    </xf>
    <xf numFmtId="49" fontId="19" fillId="21" borderId="3" xfId="0" applyNumberFormat="1" applyFont="1" applyFill="1" applyBorder="1" applyAlignment="1">
      <alignment horizontal="center" vertical="center"/>
    </xf>
    <xf numFmtId="49" fontId="0" fillId="22" borderId="3" xfId="0" applyNumberFormat="1" applyFont="1" applyFill="1" applyBorder="1" applyAlignment="1">
      <alignment horizontal="center" vertical="center"/>
    </xf>
    <xf numFmtId="49" fontId="2" fillId="0" borderId="0" xfId="0" applyNumberFormat="1" applyFont="1">
      <alignment vertical="top"/>
    </xf>
    <xf numFmtId="0" fontId="2"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2" fillId="0" borderId="35" xfId="0" applyNumberFormat="1" applyFont="1" applyBorder="1" applyAlignment="1">
      <alignment vertical="center"/>
    </xf>
    <xf numFmtId="49" fontId="2"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2" fillId="0" borderId="4" xfId="0" applyNumberFormat="1" applyFont="1" applyBorder="1" applyAlignment="1">
      <alignment vertical="center"/>
    </xf>
    <xf numFmtId="49" fontId="2" fillId="0" borderId="3" xfId="0" applyNumberFormat="1" applyFont="1" applyBorder="1" applyAlignment="1">
      <alignment vertical="center"/>
    </xf>
    <xf numFmtId="0" fontId="0" fillId="0" borderId="0" xfId="0" applyNumberFormat="1" applyFont="1">
      <alignment vertical="top"/>
    </xf>
    <xf numFmtId="0" fontId="2" fillId="0" borderId="3" xfId="0" applyNumberFormat="1" applyFont="1" applyBorder="1">
      <alignment vertical="top"/>
    </xf>
    <xf numFmtId="49" fontId="2" fillId="0" borderId="3" xfId="0" applyNumberFormat="1" applyFont="1" applyBorder="1">
      <alignment vertical="top"/>
    </xf>
    <xf numFmtId="0" fontId="2" fillId="0" borderId="0" xfId="0" applyNumberFormat="1" applyFont="1" applyAlignment="1">
      <alignment vertical="center"/>
    </xf>
    <xf numFmtId="49" fontId="2" fillId="0" borderId="5" xfId="0" applyNumberFormat="1" applyFont="1" applyBorder="1">
      <alignment vertical="top"/>
    </xf>
    <xf numFmtId="0" fontId="0" fillId="0" borderId="0" xfId="0" applyNumberFormat="1" applyFont="1" applyAlignment="1">
      <alignment vertical="center"/>
    </xf>
    <xf numFmtId="0" fontId="2" fillId="0" borderId="0" xfId="0" applyNumberFormat="1" applyFont="1">
      <alignment vertical="top"/>
    </xf>
    <xf numFmtId="49" fontId="2"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2" fillId="0" borderId="8" xfId="0" applyNumberFormat="1" applyFont="1" applyBorder="1" applyAlignment="1">
      <alignment vertical="center"/>
    </xf>
    <xf numFmtId="49" fontId="2" fillId="0" borderId="22" xfId="0" applyNumberFormat="1" applyFont="1" applyBorder="1" applyAlignment="1">
      <alignment horizontal="center" vertical="center"/>
    </xf>
    <xf numFmtId="49" fontId="2" fillId="0" borderId="0" xfId="0" applyNumberFormat="1" applyFont="1">
      <alignment vertical="top"/>
    </xf>
    <xf numFmtId="49" fontId="0" fillId="7"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5"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76"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3" fillId="18" borderId="3" xfId="0" applyNumberFormat="1" applyFont="1" applyFill="1" applyBorder="1" applyAlignment="1">
      <alignment horizontal="right" vertical="center"/>
    </xf>
    <xf numFmtId="49" fontId="2" fillId="7" borderId="28" xfId="0" applyNumberFormat="1" applyFont="1" applyFill="1" applyBorder="1" applyProtection="1">
      <alignment vertical="top"/>
      <protection locked="0"/>
    </xf>
    <xf numFmtId="0" fontId="2" fillId="0" borderId="3" xfId="0" applyNumberFormat="1" applyFont="1" applyBorder="1">
      <alignment vertical="top"/>
    </xf>
    <xf numFmtId="49" fontId="2" fillId="12" borderId="14" xfId="0" applyNumberFormat="1" applyFont="1" applyFill="1" applyBorder="1">
      <alignment vertical="top"/>
    </xf>
    <xf numFmtId="49" fontId="2" fillId="12" borderId="3" xfId="0" applyNumberFormat="1" applyFont="1" applyFill="1" applyBorder="1">
      <alignment vertical="top"/>
    </xf>
    <xf numFmtId="0" fontId="0" fillId="0" borderId="23" xfId="0" applyNumberFormat="1" applyFont="1" applyBorder="1" applyAlignment="1">
      <alignment horizontal="center" vertical="center"/>
    </xf>
    <xf numFmtId="0" fontId="0" fillId="0" borderId="22" xfId="0" applyNumberFormat="1" applyFont="1" applyBorder="1" applyAlignment="1">
      <alignment horizontal="center" vertical="center"/>
    </xf>
    <xf numFmtId="49" fontId="0" fillId="0" borderId="0" xfId="0" applyNumberFormat="1" applyFont="1" applyAlignment="1">
      <alignment vertical="center"/>
    </xf>
    <xf numFmtId="49" fontId="3" fillId="18" borderId="5" xfId="0" applyNumberFormat="1" applyFont="1" applyFill="1" applyBorder="1" applyAlignment="1">
      <alignment horizontal="right" vertical="center"/>
    </xf>
    <xf numFmtId="0" fontId="0" fillId="19" borderId="0" xfId="0" applyNumberFormat="1" applyFont="1" applyFill="1" applyAlignment="1">
      <alignment horizontal="right" vertical="center"/>
    </xf>
    <xf numFmtId="0" fontId="77" fillId="0" borderId="38" xfId="0" applyNumberFormat="1" applyFont="1" applyBorder="1" applyAlignment="1">
      <alignment horizontal="left" vertical="center" indent="1"/>
    </xf>
    <xf numFmtId="0" fontId="77" fillId="0" borderId="39" xfId="0" applyNumberFormat="1" applyFont="1" applyBorder="1" applyAlignment="1">
      <alignment horizontal="left" vertical="center" indent="1"/>
    </xf>
    <xf numFmtId="0" fontId="77" fillId="0" borderId="40" xfId="0" applyNumberFormat="1" applyFont="1" applyBorder="1" applyAlignment="1">
      <alignment horizontal="left" vertical="center" indent="1"/>
    </xf>
    <xf numFmtId="0" fontId="2" fillId="6" borderId="0" xfId="0" applyNumberFormat="1" applyFont="1" applyFill="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49" fontId="72" fillId="0" borderId="0" xfId="0" applyNumberFormat="1" applyFont="1" applyAlignment="1">
      <alignment horizontal="center" vertical="center" wrapText="1"/>
    </xf>
    <xf numFmtId="0" fontId="2" fillId="6" borderId="0" xfId="0" applyNumberFormat="1" applyFont="1" applyFill="1" applyAlignment="1">
      <alignment vertical="center" wrapText="1"/>
    </xf>
    <xf numFmtId="0" fontId="2" fillId="0" borderId="0" xfId="0" applyNumberFormat="1" applyFont="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0" fontId="0" fillId="0" borderId="3" xfId="0" applyNumberFormat="1" applyFont="1" applyBorder="1" applyAlignment="1">
      <alignment horizontal="center" vertical="center" wrapText="1"/>
    </xf>
    <xf numFmtId="0" fontId="2" fillId="0" borderId="0" xfId="0" applyNumberFormat="1" applyFont="1" applyAlignment="1">
      <alignment horizontal="left" vertical="center" wrapText="1" indent="3"/>
    </xf>
    <xf numFmtId="0" fontId="2" fillId="0" borderId="0" xfId="0" applyNumberFormat="1" applyFont="1" applyAlignment="1">
      <alignment horizontal="left" vertical="center" wrapText="1" indent="3"/>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 fillId="10" borderId="3" xfId="0" applyNumberFormat="1" applyFont="1" applyFill="1" applyBorder="1" applyAlignment="1" applyProtection="1">
      <alignment horizontal="left" vertical="center" wrapText="1" indent="1"/>
      <protection locked="0"/>
    </xf>
    <xf numFmtId="49" fontId="19" fillId="18"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49" fontId="78" fillId="0" borderId="7" xfId="0" applyNumberFormat="1" applyFont="1" applyBorder="1">
      <alignment vertical="top"/>
    </xf>
    <xf numFmtId="0" fontId="0" fillId="0" borderId="0" xfId="0" applyNumberFormat="1" applyFont="1">
      <alignment vertical="top"/>
    </xf>
    <xf numFmtId="0" fontId="19" fillId="0" borderId="0" xfId="0" applyNumberFormat="1" applyFont="1" applyAlignment="1">
      <alignment vertical="center" wrapText="1"/>
    </xf>
    <xf numFmtId="49" fontId="26" fillId="10" borderId="3" xfId="0" applyNumberFormat="1" applyFont="1" applyFill="1" applyBorder="1" applyAlignment="1" applyProtection="1">
      <alignment horizontal="left" vertical="center" wrapText="1"/>
      <protection locked="0"/>
    </xf>
    <xf numFmtId="0" fontId="2"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26" fillId="10" borderId="3" xfId="0" applyNumberFormat="1" applyFont="1" applyFill="1" applyBorder="1" applyAlignment="1" applyProtection="1">
      <alignment horizontal="left" vertical="center" wrapText="1"/>
      <protection locked="0"/>
    </xf>
    <xf numFmtId="0" fontId="2" fillId="6" borderId="17" xfId="0" applyNumberFormat="1" applyFont="1" applyFill="1" applyBorder="1" applyAlignment="1">
      <alignment horizontal="right" vertical="center" wrapText="1" inden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12" fillId="8" borderId="6" xfId="0" applyNumberFormat="1" applyFont="1" applyFill="1" applyBorder="1" applyAlignment="1">
      <alignment horizontal="left" vertical="center" indent="1"/>
    </xf>
    <xf numFmtId="4" fontId="2" fillId="10" borderId="22" xfId="0" applyNumberFormat="1" applyFont="1" applyFill="1" applyBorder="1" applyAlignment="1" applyProtection="1">
      <alignment horizontal="right" vertical="center" wrapText="1"/>
      <protection locked="0"/>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2" fillId="0" borderId="0" xfId="0" applyNumberFormat="1" applyFont="1" applyAlignment="1">
      <alignment vertical="center"/>
    </xf>
    <xf numFmtId="0" fontId="2" fillId="0" borderId="0" xfId="0" applyNumberFormat="1" applyFont="1" applyAlignment="1">
      <alignment vertical="center" wrapText="1"/>
    </xf>
    <xf numFmtId="0" fontId="2" fillId="8" borderId="41" xfId="0" applyNumberFormat="1" applyFont="1" applyFill="1" applyBorder="1" applyAlignment="1">
      <alignment vertical="center" wrapText="1"/>
    </xf>
    <xf numFmtId="0" fontId="2" fillId="8" borderId="42" xfId="0" applyNumberFormat="1" applyFont="1" applyFill="1" applyBorder="1" applyAlignment="1">
      <alignment vertical="center" wrapText="1"/>
    </xf>
    <xf numFmtId="49" fontId="79" fillId="8" borderId="5" xfId="0" applyNumberFormat="1" applyFont="1" applyFill="1" applyBorder="1" applyAlignment="1">
      <alignment horizontal="left" vertical="center" indent="1"/>
    </xf>
    <xf numFmtId="49" fontId="79" fillId="8" borderId="6" xfId="0" applyNumberFormat="1" applyFont="1" applyFill="1" applyBorder="1" applyAlignment="1">
      <alignment horizontal="left" vertical="center" indent="1"/>
    </xf>
    <xf numFmtId="49" fontId="68" fillId="8" borderId="34" xfId="0" applyNumberFormat="1" applyFont="1" applyFill="1" applyBorder="1" applyAlignment="1">
      <alignment horizontal="center" vertical="center"/>
    </xf>
    <xf numFmtId="49" fontId="79" fillId="8" borderId="34" xfId="0" applyNumberFormat="1" applyFont="1" applyFill="1" applyBorder="1" applyAlignment="1">
      <alignment horizontal="left" vertical="center" indent="1"/>
    </xf>
    <xf numFmtId="0" fontId="17" fillId="11" borderId="3" xfId="0" applyNumberFormat="1" applyFont="1" applyFill="1" applyBorder="1" applyAlignment="1">
      <alignment horizontal="left" vertical="center" wrapText="1" indent="1"/>
    </xf>
    <xf numFmtId="49" fontId="17" fillId="8" borderId="6" xfId="0" applyNumberFormat="1" applyFont="1" applyFill="1" applyBorder="1" applyAlignment="1">
      <alignment vertical="top" wrapText="1"/>
    </xf>
    <xf numFmtId="49" fontId="17" fillId="8" borderId="4" xfId="0" applyNumberFormat="1" applyFont="1" applyFill="1" applyBorder="1" applyAlignment="1">
      <alignment vertical="top" wrapText="1"/>
    </xf>
    <xf numFmtId="49" fontId="17" fillId="8" borderId="43" xfId="0" applyNumberFormat="1" applyFont="1" applyFill="1" applyBorder="1" applyAlignment="1">
      <alignment vertical="top" wrapText="1"/>
    </xf>
    <xf numFmtId="49" fontId="79" fillId="8" borderId="43" xfId="0" applyNumberFormat="1" applyFont="1" applyFill="1" applyBorder="1" applyAlignment="1">
      <alignment horizontal="left" vertical="center" indent="1"/>
    </xf>
    <xf numFmtId="0" fontId="2" fillId="8" borderId="44" xfId="0" applyNumberFormat="1" applyFont="1" applyFill="1" applyBorder="1" applyAlignment="1">
      <alignment vertical="center" wrapText="1"/>
    </xf>
    <xf numFmtId="0" fontId="2" fillId="6"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2" fillId="0" borderId="40" xfId="0" applyNumberFormat="1" applyFont="1" applyBorder="1" applyAlignment="1">
      <alignment vertical="center" wrapText="1"/>
    </xf>
    <xf numFmtId="0" fontId="2" fillId="0" borderId="45" xfId="0" applyNumberFormat="1" applyFont="1" applyBorder="1" applyAlignment="1">
      <alignment vertical="center" wrapText="1"/>
    </xf>
    <xf numFmtId="0" fontId="2" fillId="0" borderId="46" xfId="0" applyNumberFormat="1" applyFont="1" applyBorder="1" applyAlignment="1">
      <alignment vertical="center" wrapText="1"/>
    </xf>
    <xf numFmtId="0" fontId="2" fillId="11" borderId="3" xfId="0" applyNumberFormat="1" applyFont="1" applyFill="1" applyBorder="1" applyAlignment="1">
      <alignment horizontal="left" vertical="center" wrapText="1" indent="1"/>
    </xf>
    <xf numFmtId="0" fontId="0" fillId="8" borderId="41" xfId="0" applyNumberFormat="1" applyFont="1" applyFill="1" applyBorder="1" applyAlignment="1">
      <alignment horizontal="left" vertical="center"/>
    </xf>
    <xf numFmtId="0" fontId="2" fillId="6" borderId="3" xfId="0" applyNumberFormat="1" applyFont="1" applyFill="1" applyBorder="1" applyAlignment="1">
      <alignment horizontal="center" vertical="center" wrapText="1"/>
    </xf>
    <xf numFmtId="49" fontId="7" fillId="0" borderId="3" xfId="0" applyNumberFormat="1" applyFont="1" applyBorder="1" applyAlignment="1">
      <alignment horizontal="center" vertical="center"/>
    </xf>
    <xf numFmtId="49" fontId="7" fillId="12" borderId="3" xfId="0" applyNumberFormat="1" applyFont="1" applyFill="1" applyBorder="1" applyAlignment="1">
      <alignment horizontal="center" vertical="center"/>
    </xf>
    <xf numFmtId="0" fontId="7" fillId="0" borderId="3" xfId="0" applyNumberFormat="1" applyFont="1" applyBorder="1" applyAlignment="1">
      <alignment horizontal="center" vertical="center"/>
    </xf>
    <xf numFmtId="49" fontId="7" fillId="0" borderId="14" xfId="0" applyNumberFormat="1" applyFont="1" applyBorder="1" applyAlignment="1">
      <alignment horizontal="center" vertical="center"/>
    </xf>
    <xf numFmtId="49" fontId="2" fillId="0" borderId="0" xfId="0" applyNumberFormat="1" applyFont="1" applyAlignment="1">
      <alignment vertical="center"/>
    </xf>
    <xf numFmtId="49" fontId="19" fillId="0" borderId="8" xfId="0" applyNumberFormat="1" applyFont="1" applyBorder="1" applyAlignment="1">
      <alignment horizontal="center" vertical="center"/>
    </xf>
    <xf numFmtId="49" fontId="2" fillId="0" borderId="8" xfId="0" applyNumberFormat="1" applyFont="1" applyBorder="1" applyAlignment="1">
      <alignment horizontal="center" vertical="center"/>
    </xf>
    <xf numFmtId="0" fontId="2" fillId="0" borderId="8" xfId="0" applyNumberFormat="1" applyFont="1" applyBorder="1" applyAlignment="1">
      <alignment horizontal="right" vertical="center"/>
    </xf>
    <xf numFmtId="0" fontId="2" fillId="0" borderId="8" xfId="0" applyNumberFormat="1" applyFont="1" applyBorder="1" applyAlignment="1">
      <alignment horizontal="center" vertical="center"/>
    </xf>
    <xf numFmtId="0" fontId="2" fillId="0" borderId="3" xfId="0" applyNumberFormat="1" applyFont="1" applyBorder="1" applyAlignment="1">
      <alignment horizontal="right" vertical="center"/>
    </xf>
    <xf numFmtId="49" fontId="2" fillId="0" borderId="0" xfId="0" applyNumberFormat="1" applyFont="1" applyAlignment="1">
      <alignment vertical="center"/>
    </xf>
    <xf numFmtId="49" fontId="2" fillId="0" borderId="47" xfId="0" applyNumberFormat="1" applyFont="1" applyBorder="1" applyAlignment="1">
      <alignment horizontal="center" vertical="center"/>
    </xf>
    <xf numFmtId="0" fontId="2" fillId="0" borderId="47" xfId="0" applyNumberFormat="1" applyFont="1" applyBorder="1" applyAlignment="1">
      <alignment horizontal="right" vertical="center"/>
    </xf>
    <xf numFmtId="0" fontId="2" fillId="0" borderId="47" xfId="0" applyNumberFormat="1" applyFont="1" applyBorder="1" applyAlignment="1">
      <alignment horizontal="center" vertical="center"/>
    </xf>
    <xf numFmtId="0" fontId="2" fillId="0" borderId="6" xfId="0" applyNumberFormat="1" applyFont="1" applyBorder="1" applyAlignment="1">
      <alignment horizontal="right" vertical="center"/>
    </xf>
    <xf numFmtId="0" fontId="2" fillId="0" borderId="4" xfId="0" applyNumberFormat="1" applyFont="1" applyBorder="1" applyAlignment="1">
      <alignment horizontal="right" vertical="center"/>
    </xf>
    <xf numFmtId="0" fontId="2" fillId="6" borderId="3" xfId="0" applyNumberFormat="1" applyFont="1" applyFill="1" applyBorder="1" applyAlignment="1">
      <alignment horizontal="center" vertical="center"/>
    </xf>
    <xf numFmtId="0" fontId="2" fillId="11" borderId="3" xfId="0" applyNumberFormat="1" applyFont="1" applyFill="1" applyBorder="1" applyAlignment="1">
      <alignment horizontal="left" vertical="center" wrapText="1" indent="1"/>
    </xf>
    <xf numFmtId="0" fontId="2" fillId="10" borderId="3" xfId="0" applyNumberFormat="1" applyFont="1" applyFill="1" applyBorder="1" applyAlignment="1" applyProtection="1">
      <alignment horizontal="left" vertical="center" wrapText="1" indent="1"/>
      <protection locked="0"/>
    </xf>
    <xf numFmtId="0" fontId="2" fillId="12" borderId="3" xfId="0" applyNumberFormat="1" applyFont="1" applyFill="1" applyBorder="1" applyAlignment="1">
      <alignment horizontal="right" vertical="center"/>
    </xf>
    <xf numFmtId="3" fontId="2" fillId="7" borderId="3" xfId="0" applyNumberFormat="1" applyFont="1" applyFill="1" applyBorder="1" applyAlignment="1" applyProtection="1">
      <alignment horizontal="right" vertical="center"/>
      <protection locked="0"/>
    </xf>
    <xf numFmtId="4" fontId="2" fillId="7" borderId="3" xfId="0" applyNumberFormat="1" applyFont="1" applyFill="1" applyBorder="1" applyAlignment="1" applyProtection="1">
      <alignment horizontal="right" vertical="center"/>
      <protection locked="0"/>
    </xf>
    <xf numFmtId="49" fontId="12" fillId="8" borderId="48" xfId="0" applyNumberFormat="1" applyFont="1" applyFill="1" applyBorder="1" applyAlignment="1">
      <alignment horizontal="left" vertical="center" indent="1"/>
    </xf>
    <xf numFmtId="49" fontId="12" fillId="8" borderId="42" xfId="0" applyNumberFormat="1" applyFont="1" applyFill="1" applyBorder="1" applyAlignment="1">
      <alignment horizontal="left" vertical="center" indent="1"/>
    </xf>
    <xf numFmtId="49" fontId="12" fillId="23" borderId="4" xfId="0" applyNumberFormat="1" applyFont="1" applyFill="1" applyBorder="1" applyAlignment="1">
      <alignment horizontal="left" vertical="center" indent="1"/>
    </xf>
    <xf numFmtId="49" fontId="2" fillId="0" borderId="0" xfId="0" applyNumberFormat="1" applyFont="1">
      <alignment vertical="top"/>
    </xf>
    <xf numFmtId="0" fontId="2" fillId="7" borderId="3" xfId="0" applyNumberFormat="1" applyFont="1" applyFill="1" applyBorder="1" applyAlignment="1" applyProtection="1">
      <alignment horizontal="left" vertical="center" indent="1"/>
      <protection locked="0"/>
    </xf>
    <xf numFmtId="0" fontId="2" fillId="19" borderId="0" xfId="0" applyNumberFormat="1" applyFont="1" applyFill="1" applyAlignment="1">
      <alignment horizontal="left" vertical="center"/>
    </xf>
    <xf numFmtId="49" fontId="2" fillId="11"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right" vertical="center" wrapText="1"/>
    </xf>
    <xf numFmtId="0" fontId="7" fillId="6" borderId="0" xfId="0" applyNumberFormat="1" applyFont="1" applyFill="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8" fillId="6" borderId="0" xfId="0" applyNumberFormat="1" applyFont="1" applyFill="1" applyAlignment="1">
      <alignment horizontal="center"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2" fillId="6" borderId="10" xfId="0" applyNumberFormat="1" applyFont="1" applyFill="1" applyBorder="1" applyAlignment="1">
      <alignment vertical="center" wrapText="1"/>
    </xf>
    <xf numFmtId="49" fontId="20" fillId="0" borderId="0" xfId="0" applyNumberFormat="1" applyFont="1">
      <alignment vertical="top"/>
    </xf>
    <xf numFmtId="0" fontId="20"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5" borderId="3" xfId="0" applyNumberFormat="1" applyFont="1" applyFill="1" applyBorder="1" applyAlignment="1">
      <alignment horizontal="center" vertical="center"/>
    </xf>
    <xf numFmtId="49" fontId="2" fillId="0" borderId="13" xfId="0" applyNumberFormat="1" applyFont="1" applyBorder="1">
      <alignment vertical="top"/>
    </xf>
    <xf numFmtId="0" fontId="2" fillId="0" borderId="13" xfId="0" applyNumberFormat="1" applyFont="1" applyBorder="1" applyAlignment="1">
      <alignment vertical="center" wrapText="1"/>
    </xf>
    <xf numFmtId="4" fontId="0" fillId="7" borderId="3" xfId="0" applyNumberFormat="1" applyFont="1" applyFill="1" applyBorder="1" applyAlignment="1" applyProtection="1">
      <alignment horizontal="right" vertical="center" wrapText="1"/>
      <protection locked="0"/>
    </xf>
    <xf numFmtId="4" fontId="0" fillId="5"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2" fillId="0" borderId="29" xfId="0" applyNumberFormat="1" applyFont="1" applyBorder="1" applyAlignment="1">
      <alignment vertical="center"/>
    </xf>
    <xf numFmtId="49" fontId="12" fillId="8" borderId="6" xfId="0" applyNumberFormat="1" applyFont="1" applyFill="1" applyBorder="1" applyAlignment="1">
      <alignment horizontal="left" vertical="center" indent="1"/>
    </xf>
    <xf numFmtId="49" fontId="2" fillId="10" borderId="8" xfId="0" applyNumberFormat="1" applyFont="1" applyFill="1" applyBorder="1" applyAlignment="1" applyProtection="1">
      <alignment horizontal="left" vertical="center" wrapText="1" indent="1"/>
      <protection locked="0"/>
    </xf>
    <xf numFmtId="0" fontId="18" fillId="0" borderId="0" xfId="0" applyNumberFormat="1" applyFont="1" applyAlignment="1">
      <alignment vertical="center" wrapText="1"/>
    </xf>
    <xf numFmtId="0" fontId="2" fillId="6" borderId="18" xfId="0" applyNumberFormat="1" applyFont="1" applyFill="1" applyBorder="1" applyAlignment="1">
      <alignment vertical="center" wrapText="1"/>
    </xf>
    <xf numFmtId="0" fontId="20" fillId="6" borderId="10" xfId="0" applyNumberFormat="1" applyFont="1" applyFill="1" applyBorder="1" applyAlignment="1">
      <alignment horizontal="center" vertical="center" wrapText="1"/>
    </xf>
    <xf numFmtId="49" fontId="46" fillId="0" borderId="0" xfId="0" applyNumberFormat="1" applyFont="1" applyAlignment="1">
      <alignment vertical="center" wrapText="1"/>
    </xf>
    <xf numFmtId="0" fontId="80" fillId="6" borderId="0" xfId="0" applyNumberFormat="1" applyFont="1" applyFill="1" applyAlignment="1">
      <alignment vertical="center" wrapText="1"/>
    </xf>
    <xf numFmtId="0" fontId="45" fillId="0" borderId="0" xfId="0" applyNumberFormat="1" applyFont="1" applyAlignment="1">
      <alignment horizontal="left" vertical="center" wrapText="1"/>
    </xf>
    <xf numFmtId="0" fontId="2" fillId="0" borderId="0" xfId="0" applyNumberFormat="1" applyFont="1" applyAlignment="1">
      <alignment vertical="center"/>
    </xf>
    <xf numFmtId="49" fontId="20" fillId="6" borderId="0" xfId="0" applyNumberFormat="1" applyFont="1" applyFill="1" applyAlignment="1">
      <alignment horizontal="center" vertical="center" wrapText="1"/>
    </xf>
    <xf numFmtId="0" fontId="2" fillId="0" borderId="0" xfId="0" applyNumberFormat="1" applyFont="1" applyAlignment="1">
      <alignment horizontal="left" vertical="center" wrapText="1"/>
    </xf>
    <xf numFmtId="0" fontId="20" fillId="0" borderId="0" xfId="0" applyNumberFormat="1" applyFont="1" applyAlignment="1">
      <alignment vertical="center"/>
    </xf>
    <xf numFmtId="0" fontId="2" fillId="0" borderId="0" xfId="0" applyNumberFormat="1" applyFont="1" applyAlignment="1">
      <alignment horizontal="left" vertical="center" wrapText="1" indent="1"/>
    </xf>
    <xf numFmtId="0" fontId="55" fillId="0" borderId="0" xfId="0" applyNumberFormat="1" applyFont="1" applyAlignment="1">
      <alignment vertical="center" wrapText="1"/>
    </xf>
    <xf numFmtId="0" fontId="2"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 fontId="0" fillId="6" borderId="5" xfId="0" applyNumberFormat="1" applyFont="1" applyFill="1" applyBorder="1" applyAlignment="1">
      <alignment horizontal="right" vertical="center"/>
    </xf>
    <xf numFmtId="0" fontId="2" fillId="0" borderId="5" xfId="0" applyNumberFormat="1" applyFont="1" applyBorder="1" applyAlignment="1">
      <alignment horizontal="left" vertical="center" wrapText="1" indent="6"/>
    </xf>
    <xf numFmtId="49" fontId="2" fillId="8" borderId="20" xfId="0" applyNumberFormat="1" applyFont="1" applyFill="1" applyBorder="1" applyAlignment="1">
      <alignment horizontal="center" vertical="center" wrapText="1"/>
    </xf>
    <xf numFmtId="0" fontId="20" fillId="0" borderId="0" xfId="0" applyNumberFormat="1" applyFont="1" applyAlignment="1">
      <alignment vertical="top" wrapText="1"/>
    </xf>
    <xf numFmtId="49" fontId="0" fillId="0" borderId="0" xfId="0" applyNumberFormat="1" applyFont="1" applyAlignment="1">
      <alignment vertical="center" wrapText="1"/>
    </xf>
    <xf numFmtId="0" fontId="81" fillId="6" borderId="0" xfId="0" applyNumberFormat="1" applyFont="1" applyFill="1" applyAlignment="1">
      <alignment vertical="center" wrapText="1"/>
    </xf>
    <xf numFmtId="49" fontId="53" fillId="6" borderId="10" xfId="0" applyNumberFormat="1" applyFont="1" applyFill="1" applyBorder="1" applyAlignment="1">
      <alignment horizontal="center" vertical="center" wrapText="1"/>
    </xf>
    <xf numFmtId="0" fontId="53" fillId="6" borderId="10" xfId="0" applyNumberFormat="1" applyFont="1" applyFill="1" applyBorder="1" applyAlignment="1">
      <alignment horizontal="center" vertical="center" wrapText="1"/>
    </xf>
    <xf numFmtId="49" fontId="2" fillId="0" borderId="0" xfId="0" applyNumberFormat="1" applyFont="1" applyAlignment="1">
      <alignment horizontal="left" vertical="center"/>
    </xf>
    <xf numFmtId="49" fontId="2" fillId="0" borderId="0" xfId="0" applyNumberFormat="1" applyFont="1" applyAlignment="1">
      <alignment horizontal="left" vertical="top"/>
    </xf>
    <xf numFmtId="165" fontId="2" fillId="7" borderId="3" xfId="0" applyNumberFormat="1" applyFont="1" applyFill="1" applyBorder="1" applyAlignment="1" applyProtection="1">
      <alignment horizontal="right" vertical="center" wrapText="1"/>
      <protection locked="0"/>
    </xf>
    <xf numFmtId="0" fontId="17" fillId="0" borderId="3" xfId="0" applyNumberFormat="1" applyFont="1" applyBorder="1" applyAlignment="1">
      <alignment vertical="top" wrapText="1"/>
    </xf>
    <xf numFmtId="0" fontId="2" fillId="11" borderId="3" xfId="0" applyNumberFormat="1" applyFont="1" applyFill="1" applyBorder="1" applyAlignment="1" applyProtection="1">
      <alignment horizontal="left" vertical="center" wrapText="1" indent="6"/>
      <protection locked="0"/>
    </xf>
    <xf numFmtId="0" fontId="2" fillId="0" borderId="0" xfId="0" applyNumberFormat="1" applyFont="1" applyAlignment="1">
      <alignment vertical="center"/>
    </xf>
    <xf numFmtId="0" fontId="82" fillId="0" borderId="0" xfId="0" applyNumberFormat="1" applyFont="1" applyAlignment="1">
      <alignment vertical="center"/>
    </xf>
    <xf numFmtId="0" fontId="82" fillId="0" borderId="0" xfId="0" applyNumberFormat="1" applyFont="1" applyAlignment="1">
      <alignment vertical="center"/>
    </xf>
    <xf numFmtId="0" fontId="2" fillId="0" borderId="0" xfId="0" applyNumberFormat="1" applyFont="1" applyAlignment="1">
      <alignment vertical="center"/>
    </xf>
    <xf numFmtId="0" fontId="8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horizontal="left" vertical="center" indent="1"/>
    </xf>
    <xf numFmtId="49" fontId="2" fillId="0" borderId="0" xfId="0" applyNumberFormat="1" applyFont="1" applyAlignment="1">
      <alignment horizontal="left" vertical="center"/>
    </xf>
    <xf numFmtId="49" fontId="83" fillId="8" borderId="6" xfId="0" applyNumberFormat="1" applyFont="1" applyFill="1" applyBorder="1" applyAlignment="1">
      <alignment horizontal="left" vertical="center" indent="3"/>
    </xf>
    <xf numFmtId="49" fontId="46" fillId="8" borderId="6" xfId="0" applyNumberFormat="1" applyFont="1" applyFill="1" applyBorder="1" applyAlignment="1">
      <alignment horizontal="center" vertical="center" wrapText="1"/>
    </xf>
    <xf numFmtId="49" fontId="40" fillId="8" borderId="6" xfId="0" applyNumberFormat="1" applyFont="1" applyFill="1" applyBorder="1" applyAlignment="1">
      <alignment horizontal="center" vertical="center" wrapText="1"/>
    </xf>
    <xf numFmtId="49" fontId="40" fillId="8" borderId="4" xfId="0" applyNumberFormat="1" applyFont="1" applyFill="1" applyBorder="1" applyAlignment="1">
      <alignment horizontal="center" vertical="center" wrapText="1"/>
    </xf>
    <xf numFmtId="49" fontId="83" fillId="8" borderId="6" xfId="0" applyNumberFormat="1" applyFont="1" applyFill="1" applyBorder="1" applyAlignment="1">
      <alignment horizontal="left" vertical="center" indent="2"/>
    </xf>
    <xf numFmtId="49" fontId="83" fillId="8" borderId="6" xfId="0" applyNumberFormat="1" applyFont="1" applyFill="1" applyBorder="1" applyAlignment="1">
      <alignment horizontal="left" vertical="center" indent="1"/>
    </xf>
    <xf numFmtId="49" fontId="83" fillId="8" borderId="6" xfId="0" applyNumberFormat="1" applyFont="1" applyFill="1" applyBorder="1" applyAlignment="1">
      <alignment horizontal="left" vertical="center"/>
    </xf>
    <xf numFmtId="0" fontId="2" fillId="6"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53" fillId="6" borderId="10" xfId="0" applyNumberFormat="1" applyFont="1" applyFill="1" applyBorder="1" applyAlignment="1">
      <alignment horizontal="left" vertical="center" wrapText="1"/>
    </xf>
    <xf numFmtId="49" fontId="43" fillId="8" borderId="5" xfId="0" applyNumberFormat="1" applyFont="1" applyFill="1" applyBorder="1" applyAlignment="1">
      <alignment horizontal="left" vertical="center"/>
    </xf>
    <xf numFmtId="49" fontId="75" fillId="8" borderId="5" xfId="0" applyNumberFormat="1" applyFont="1" applyFill="1" applyBorder="1" applyAlignment="1">
      <alignment horizontal="left" vertical="center"/>
    </xf>
    <xf numFmtId="49" fontId="40" fillId="8" borderId="5" xfId="0" applyNumberFormat="1" applyFont="1" applyFill="1" applyBorder="1" applyAlignment="1">
      <alignment horizontal="left" vertical="top"/>
    </xf>
    <xf numFmtId="0" fontId="0" fillId="19" borderId="0" xfId="0" applyNumberFormat="1" applyFont="1" applyFill="1" applyAlignment="1">
      <alignment horizontal="right" vertical="center"/>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2" fillId="0" borderId="0" xfId="0" applyNumberFormat="1" applyFont="1" applyAlignment="1">
      <alignment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left" vertical="top" wrapText="1"/>
    </xf>
    <xf numFmtId="0" fontId="53" fillId="6" borderId="10"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0" fontId="27" fillId="19" borderId="0" xfId="0" applyNumberFormat="1" applyFont="1" applyFill="1" applyAlignment="1">
      <alignment horizontal="left" vertical="center"/>
    </xf>
    <xf numFmtId="49" fontId="2" fillId="0" borderId="11" xfId="0" applyNumberFormat="1" applyFont="1" applyBorder="1" applyAlignment="1">
      <alignment horizontal="left" vertical="center" wrapText="1"/>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12" fillId="0" borderId="21" xfId="0" applyNumberFormat="1" applyFont="1" applyBorder="1" applyAlignment="1">
      <alignment horizontal="left" vertical="center"/>
    </xf>
    <xf numFmtId="0" fontId="12"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12" fillId="0" borderId="20" xfId="0" applyNumberFormat="1" applyFont="1" applyBorder="1" applyAlignment="1">
      <alignment horizontal="left" vertical="center"/>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17" fillId="0" borderId="8" xfId="0" applyNumberFormat="1" applyFont="1" applyBorder="1" applyAlignment="1">
      <alignment vertical="top" wrapText="1"/>
    </xf>
    <xf numFmtId="0" fontId="2" fillId="6" borderId="3" xfId="0" applyNumberFormat="1" applyFont="1" applyFill="1" applyBorder="1" applyAlignment="1">
      <alignment horizontal="left" vertical="center" wrapText="1"/>
    </xf>
    <xf numFmtId="0" fontId="2" fillId="0" borderId="0" xfId="0" applyNumberFormat="1" applyFont="1" applyAlignment="1">
      <alignment horizontal="center" vertical="center"/>
    </xf>
    <xf numFmtId="49" fontId="2" fillId="0" borderId="0" xfId="0" applyNumberFormat="1" applyFont="1" applyAlignment="1">
      <alignment vertical="center" wrapText="1"/>
    </xf>
    <xf numFmtId="0" fontId="53" fillId="6"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wrapText="1"/>
    </xf>
    <xf numFmtId="49" fontId="20" fillId="0" borderId="0" xfId="0" applyNumberFormat="1" applyFont="1">
      <alignment vertical="top"/>
    </xf>
    <xf numFmtId="49" fontId="81" fillId="0" borderId="0" xfId="0" applyNumberFormat="1" applyFont="1">
      <alignment vertical="top"/>
    </xf>
    <xf numFmtId="49" fontId="71"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3"/>
    </xf>
    <xf numFmtId="49" fontId="20" fillId="0" borderId="10" xfId="0" applyNumberFormat="1" applyFont="1" applyBorder="1" applyAlignment="1">
      <alignment horizontal="center" vertical="center" wrapText="1"/>
    </xf>
    <xf numFmtId="49" fontId="20" fillId="0" borderId="0" xfId="0" applyNumberFormat="1" applyFont="1" applyAlignment="1">
      <alignment horizontal="left" vertical="center"/>
    </xf>
    <xf numFmtId="49" fontId="71" fillId="0" borderId="0" xfId="0" applyNumberFormat="1" applyFont="1" applyAlignment="1">
      <alignment horizontal="left" vertical="center"/>
    </xf>
    <xf numFmtId="49" fontId="20" fillId="0" borderId="0" xfId="0" applyNumberFormat="1" applyFont="1" applyAlignment="1">
      <alignment horizontal="left" vertical="center" indent="2"/>
    </xf>
    <xf numFmtId="49" fontId="20" fillId="0" borderId="0" xfId="0" applyNumberFormat="1" applyFont="1" applyAlignment="1">
      <alignment horizontal="center" vertical="center" wrapText="1"/>
    </xf>
    <xf numFmtId="49" fontId="20" fillId="0" borderId="0" xfId="0" applyNumberFormat="1" applyFont="1" applyAlignment="1">
      <alignment horizontal="left" vertical="center" indent="1"/>
    </xf>
    <xf numFmtId="0"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6"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center" vertical="center"/>
    </xf>
    <xf numFmtId="0" fontId="2" fillId="0" borderId="0" xfId="0" applyNumberFormat="1" applyFont="1" applyAlignment="1">
      <alignment horizontal="right" vertical="center" wrapText="1"/>
    </xf>
    <xf numFmtId="0" fontId="53" fillId="6" borderId="0" xfId="0" applyNumberFormat="1" applyFont="1" applyFill="1" applyAlignment="1">
      <alignment horizontal="center" vertical="center" wrapText="1"/>
    </xf>
    <xf numFmtId="49" fontId="2" fillId="0" borderId="3" xfId="0" applyNumberFormat="1" applyFont="1" applyBorder="1" applyAlignment="1">
      <alignment horizontal="left" vertical="center" wrapText="1"/>
    </xf>
    <xf numFmtId="0" fontId="20" fillId="0" borderId="0" xfId="0" applyNumberFormat="1" applyFont="1" applyAlignment="1">
      <alignment horizontal="left" vertical="center" indent="1"/>
    </xf>
    <xf numFmtId="49" fontId="81" fillId="0" borderId="0" xfId="0" applyNumberFormat="1" applyFont="1">
      <alignment vertical="top"/>
    </xf>
    <xf numFmtId="49" fontId="2" fillId="0" borderId="3" xfId="0" applyNumberFormat="1" applyFont="1" applyBorder="1" applyAlignment="1">
      <alignment vertical="center" wrapText="1"/>
    </xf>
    <xf numFmtId="0" fontId="20" fillId="0" borderId="0" xfId="0" applyNumberFormat="1" applyFont="1" applyAlignment="1">
      <alignment horizontal="center" vertical="center"/>
    </xf>
    <xf numFmtId="0" fontId="2" fillId="11" borderId="3" xfId="0" applyNumberFormat="1" applyFont="1" applyFill="1" applyBorder="1" applyAlignment="1">
      <alignment horizontal="left" vertical="center" wrapText="1" indent="6"/>
    </xf>
    <xf numFmtId="4" fontId="2" fillId="0" borderId="8" xfId="0" applyNumberFormat="1" applyFont="1" applyBorder="1" applyAlignment="1">
      <alignment horizontal="right" vertical="center" wrapText="1"/>
    </xf>
    <xf numFmtId="4" fontId="2" fillId="0" borderId="14" xfId="0" applyNumberFormat="1" applyFont="1" applyBorder="1" applyAlignment="1">
      <alignment horizontal="right" vertical="center" wrapText="1"/>
    </xf>
    <xf numFmtId="0" fontId="0" fillId="0" borderId="0" xfId="0" applyNumberFormat="1" applyFont="1" applyAlignment="1">
      <alignment vertical="center"/>
    </xf>
    <xf numFmtId="0" fontId="2" fillId="0" borderId="8"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4" fontId="19" fillId="0" borderId="3" xfId="0" applyNumberFormat="1" applyFont="1" applyBorder="1" applyAlignment="1">
      <alignment horizontal="right" vertical="center" wrapText="1"/>
    </xf>
    <xf numFmtId="165" fontId="19" fillId="0" borderId="3" xfId="0" applyNumberFormat="1" applyFont="1" applyBorder="1" applyAlignment="1">
      <alignment horizontal="right" vertical="center" wrapText="1"/>
    </xf>
    <xf numFmtId="49" fontId="19" fillId="0" borderId="0" xfId="0" applyNumberFormat="1" applyFont="1" applyAlignment="1">
      <alignment vertical="center" wrapText="1"/>
    </xf>
    <xf numFmtId="0" fontId="19" fillId="0" borderId="0" xfId="0" applyNumberFormat="1" applyFont="1" applyAlignment="1">
      <alignment horizontal="left" vertical="center" indent="1"/>
    </xf>
    <xf numFmtId="0" fontId="19" fillId="0" borderId="0" xfId="0" applyNumberFormat="1" applyFont="1" applyAlignment="1">
      <alignment horizontal="center" vertical="center"/>
    </xf>
    <xf numFmtId="0" fontId="19" fillId="0" borderId="0" xfId="0" applyNumberFormat="1" applyFont="1" applyAlignment="1">
      <alignment horizontal="left" vertical="center" wrapText="1"/>
    </xf>
    <xf numFmtId="0" fontId="19" fillId="0" borderId="0" xfId="0" applyNumberFormat="1" applyFont="1" applyAlignment="1">
      <alignment vertical="center" wrapText="1"/>
    </xf>
    <xf numFmtId="49" fontId="19" fillId="0" borderId="3" xfId="0" applyNumberFormat="1" applyFont="1" applyBorder="1" applyAlignment="1">
      <alignment vertical="center" wrapText="1"/>
    </xf>
    <xf numFmtId="0" fontId="19" fillId="0" borderId="0" xfId="0" applyNumberFormat="1" applyFont="1" applyAlignment="1">
      <alignment vertical="center"/>
    </xf>
    <xf numFmtId="0" fontId="19" fillId="0" borderId="0" xfId="0" applyNumberFormat="1" applyFont="1" applyAlignment="1">
      <alignment horizontal="center" vertical="center"/>
    </xf>
    <xf numFmtId="0" fontId="19" fillId="0" borderId="0" xfId="0" applyNumberFormat="1" applyFont="1" applyAlignment="1">
      <alignment vertical="center"/>
    </xf>
    <xf numFmtId="0" fontId="42" fillId="0" borderId="0" xfId="0" applyNumberFormat="1" applyFont="1" applyAlignment="1">
      <alignment vertical="center" wrapText="1"/>
    </xf>
    <xf numFmtId="0" fontId="0" fillId="0" borderId="6" xfId="0" applyNumberFormat="1" applyFont="1" applyBorder="1" applyAlignment="1">
      <alignment vertical="center"/>
    </xf>
    <xf numFmtId="0" fontId="20" fillId="0" borderId="3" xfId="0" applyNumberFormat="1" applyFont="1" applyBorder="1" applyAlignment="1">
      <alignment horizontal="center" vertical="center" wrapText="1"/>
    </xf>
    <xf numFmtId="0" fontId="46" fillId="0" borderId="0" xfId="0" applyNumberFormat="1" applyFont="1" applyAlignment="1">
      <alignment horizontal="left" vertical="center" indent="1"/>
    </xf>
    <xf numFmtId="0" fontId="46" fillId="0" borderId="0" xfId="0" applyNumberFormat="1" applyFont="1" applyAlignment="1">
      <alignment horizontal="left" vertical="center" indent="1"/>
    </xf>
    <xf numFmtId="0" fontId="20" fillId="0" borderId="3" xfId="0" applyNumberFormat="1" applyFont="1" applyBorder="1" applyAlignment="1">
      <alignment vertical="center" wrapText="1"/>
    </xf>
    <xf numFmtId="0" fontId="46" fillId="0" borderId="0" xfId="0" applyNumberFormat="1" applyFont="1" applyAlignment="1">
      <alignment horizontal="center" vertical="center"/>
    </xf>
    <xf numFmtId="0" fontId="46" fillId="0" borderId="0" xfId="0" applyNumberFormat="1" applyFont="1" applyAlignment="1">
      <alignment horizontal="left" vertical="center" wrapText="1"/>
    </xf>
    <xf numFmtId="49" fontId="46" fillId="0" borderId="0" xfId="0" applyNumberFormat="1" applyFont="1" applyAlignment="1">
      <alignment horizontal="left" vertical="center"/>
    </xf>
    <xf numFmtId="0" fontId="2" fillId="0" borderId="0" xfId="0" applyNumberFormat="1" applyFont="1" applyAlignment="1">
      <alignment horizontal="center" vertical="center"/>
    </xf>
    <xf numFmtId="0" fontId="46" fillId="0" borderId="0" xfId="0" applyNumberFormat="1" applyFont="1" applyAlignment="1">
      <alignment horizontal="center" vertical="center"/>
    </xf>
    <xf numFmtId="4" fontId="2" fillId="0" borderId="4" xfId="0" applyNumberFormat="1" applyFont="1" applyBorder="1" applyAlignment="1">
      <alignment horizontal="right" vertical="center" wrapText="1"/>
    </xf>
    <xf numFmtId="0" fontId="20" fillId="0" borderId="3" xfId="0" applyNumberFormat="1" applyFont="1" applyBorder="1" applyAlignment="1">
      <alignment horizontal="left" vertical="center" wrapText="1" indent="4"/>
    </xf>
    <xf numFmtId="0" fontId="20" fillId="0" borderId="3" xfId="0" applyNumberFormat="1" applyFont="1" applyBorder="1" applyAlignment="1">
      <alignment horizontal="left" vertical="center" wrapText="1" indent="6"/>
    </xf>
    <xf numFmtId="0" fontId="20" fillId="0" borderId="3" xfId="0" applyNumberFormat="1" applyFont="1" applyBorder="1" applyAlignment="1">
      <alignment vertical="top" wrapText="1"/>
    </xf>
    <xf numFmtId="49" fontId="71" fillId="0" borderId="5" xfId="0" applyNumberFormat="1" applyFont="1" applyBorder="1" applyAlignment="1">
      <alignment horizontal="left" vertical="center"/>
    </xf>
    <xf numFmtId="49" fontId="20" fillId="0" borderId="6" xfId="0" applyNumberFormat="1" applyFont="1" applyBorder="1" applyAlignment="1">
      <alignment horizontal="left" vertical="center" indent="4"/>
    </xf>
    <xf numFmtId="49" fontId="20" fillId="0" borderId="6" xfId="0" applyNumberFormat="1" applyFont="1" applyBorder="1" applyAlignment="1">
      <alignment horizontal="center" vertical="center" wrapText="1"/>
    </xf>
    <xf numFmtId="49" fontId="20" fillId="0" borderId="4" xfId="0" applyNumberFormat="1" applyFont="1" applyBorder="1" applyAlignment="1">
      <alignment horizontal="center" vertical="center" wrapText="1"/>
    </xf>
    <xf numFmtId="4" fontId="2" fillId="0" borderId="27" xfId="0" applyNumberFormat="1" applyFont="1" applyBorder="1" applyAlignment="1">
      <alignment horizontal="right" vertical="center" wrapText="1"/>
    </xf>
    <xf numFmtId="0" fontId="2" fillId="7" borderId="3" xfId="0" applyNumberFormat="1" applyFont="1" applyFill="1" applyBorder="1" applyAlignment="1" applyProtection="1">
      <alignment horizontal="left" vertical="center" wrapText="1" indent="7"/>
      <protection locked="0"/>
    </xf>
    <xf numFmtId="0" fontId="2" fillId="8" borderId="6" xfId="0" applyNumberFormat="1" applyFont="1" applyFill="1" applyBorder="1" applyAlignment="1">
      <alignment horizontal="left" vertical="center" wrapText="1" indent="6"/>
    </xf>
    <xf numFmtId="4" fontId="2" fillId="8" borderId="6" xfId="0" applyNumberFormat="1" applyFont="1" applyFill="1" applyBorder="1" applyAlignment="1">
      <alignment horizontal="right" vertical="center" wrapText="1"/>
    </xf>
    <xf numFmtId="4" fontId="20" fillId="8" borderId="6" xfId="0" applyNumberFormat="1" applyFont="1" applyFill="1" applyBorder="1" applyAlignment="1">
      <alignment horizontal="center" vertical="center" wrapText="1"/>
    </xf>
    <xf numFmtId="4" fontId="2" fillId="8" borderId="4" xfId="0" applyNumberFormat="1" applyFont="1" applyFill="1" applyBorder="1" applyAlignment="1">
      <alignment horizontal="right" vertical="center" wrapText="1"/>
    </xf>
    <xf numFmtId="4" fontId="20" fillId="8" borderId="4" xfId="0" applyNumberFormat="1" applyFont="1" applyFill="1" applyBorder="1" applyAlignment="1">
      <alignment horizontal="center" vertical="center" wrapText="1"/>
    </xf>
    <xf numFmtId="165" fontId="2" fillId="8" borderId="4" xfId="0" applyNumberFormat="1" applyFont="1" applyFill="1" applyBorder="1" applyAlignment="1">
      <alignment horizontal="right" vertical="center" wrapText="1"/>
    </xf>
    <xf numFmtId="0" fontId="2" fillId="11" borderId="3" xfId="0" applyNumberFormat="1" applyFont="1" applyFill="1" applyBorder="1" applyAlignment="1">
      <alignment horizontal="left" vertical="center" wrapText="1" indent="1"/>
    </xf>
    <xf numFmtId="0" fontId="20" fillId="0" borderId="3" xfId="0" applyNumberFormat="1" applyFont="1" applyBorder="1" applyAlignment="1">
      <alignment horizontal="left" vertical="center" wrapText="1" indent="5"/>
    </xf>
    <xf numFmtId="49" fontId="46" fillId="0" borderId="15" xfId="0" applyNumberFormat="1" applyFont="1" applyBorder="1">
      <alignment vertical="top"/>
    </xf>
    <xf numFmtId="49" fontId="20" fillId="0" borderId="15" xfId="0" applyNumberFormat="1" applyFont="1" applyBorder="1">
      <alignment vertical="top"/>
    </xf>
    <xf numFmtId="0" fontId="2" fillId="0" borderId="3" xfId="0" applyNumberFormat="1" applyFont="1" applyBorder="1" applyAlignment="1">
      <alignment horizontal="left" vertical="center" wrapText="1" indent="1"/>
    </xf>
    <xf numFmtId="4" fontId="20" fillId="0" borderId="3" xfId="0" applyNumberFormat="1" applyFont="1" applyBorder="1" applyAlignment="1">
      <alignment horizontal="right" vertical="center" wrapText="1"/>
    </xf>
    <xf numFmtId="165" fontId="20" fillId="0" borderId="3" xfId="0" applyNumberFormat="1" applyFont="1" applyBorder="1" applyAlignment="1">
      <alignment horizontal="right" vertical="center" wrapText="1"/>
    </xf>
    <xf numFmtId="165" fontId="2" fillId="7" borderId="5" xfId="0" applyNumberFormat="1" applyFont="1" applyFill="1" applyBorder="1" applyAlignment="1" applyProtection="1">
      <alignment horizontal="right" vertical="center" wrapText="1"/>
      <protection locked="0"/>
    </xf>
    <xf numFmtId="4" fontId="20" fillId="0" borderId="5" xfId="0" applyNumberFormat="1" applyFont="1" applyBorder="1" applyAlignment="1">
      <alignment horizontal="center" vertical="center" wrapText="1"/>
    </xf>
    <xf numFmtId="4" fontId="2" fillId="7" borderId="4" xfId="0" applyNumberFormat="1" applyFont="1" applyFill="1" applyBorder="1" applyAlignment="1" applyProtection="1">
      <alignment horizontal="right" vertical="center" wrapText="1"/>
      <protection locked="0"/>
    </xf>
    <xf numFmtId="49" fontId="2" fillId="8" borderId="18" xfId="0" applyNumberFormat="1" applyFont="1" applyFill="1" applyBorder="1" applyAlignment="1">
      <alignment horizontal="center" vertical="center" wrapText="1"/>
    </xf>
    <xf numFmtId="49" fontId="19" fillId="0" borderId="0" xfId="0" applyNumberFormat="1" applyFont="1" applyAlignment="1">
      <alignment vertical="center" wrapText="1"/>
    </xf>
    <xf numFmtId="0" fontId="19" fillId="0" borderId="0" xfId="0" applyNumberFormat="1" applyFont="1" applyAlignment="1">
      <alignment horizontal="center" vertical="center" wrapText="1"/>
    </xf>
    <xf numFmtId="0" fontId="29" fillId="6" borderId="0" xfId="0" applyNumberFormat="1" applyFont="1" applyFill="1" applyAlignment="1">
      <alignment horizontal="center" vertical="center" wrapText="1"/>
    </xf>
    <xf numFmtId="0" fontId="29" fillId="0" borderId="0" xfId="0" applyNumberFormat="1" applyFont="1" applyAlignment="1">
      <alignment vertical="center" wrapText="1"/>
    </xf>
    <xf numFmtId="0" fontId="20" fillId="0" borderId="0" xfId="0" applyNumberFormat="1" applyFont="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0" borderId="10"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0" borderId="0" xfId="0" applyNumberFormat="1" applyFont="1" applyAlignment="1">
      <alignment horizontal="center" vertical="top"/>
    </xf>
    <xf numFmtId="49" fontId="3" fillId="0" borderId="0" xfId="0" applyNumberFormat="1" applyFont="1" applyAlignment="1">
      <alignment horizontal="center" vertical="center"/>
    </xf>
    <xf numFmtId="0" fontId="0" fillId="0" borderId="0" xfId="0" applyNumberFormat="1" applyFont="1" applyAlignment="1">
      <alignment horizontal="left" vertical="center"/>
    </xf>
    <xf numFmtId="0" fontId="27"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12" fillId="8" borderId="20" xfId="0" applyNumberFormat="1" applyFont="1" applyFill="1" applyBorder="1" applyAlignment="1">
      <alignment horizontal="left" vertical="center"/>
    </xf>
    <xf numFmtId="49" fontId="20" fillId="0" borderId="5" xfId="0" applyNumberFormat="1" applyFont="1" applyBorder="1" applyAlignment="1">
      <alignment horizontal="left" vertical="center" wrapText="1"/>
    </xf>
    <xf numFmtId="0" fontId="20" fillId="0" borderId="5" xfId="0" applyNumberFormat="1" applyFont="1" applyBorder="1" applyAlignment="1">
      <alignment horizontal="left" vertical="center"/>
    </xf>
    <xf numFmtId="0" fontId="20" fillId="0" borderId="6" xfId="0" applyNumberFormat="1" applyFont="1" applyBorder="1" applyAlignment="1">
      <alignment horizontal="left" vertical="center"/>
    </xf>
    <xf numFmtId="49" fontId="2" fillId="7" borderId="3" xfId="0" applyNumberFormat="1" applyFont="1" applyFill="1" applyBorder="1" applyAlignment="1" applyProtection="1">
      <alignment horizontal="left" vertical="center" wrapText="1" indent="6"/>
      <protection locked="0"/>
    </xf>
    <xf numFmtId="4" fontId="2" fillId="0" borderId="28"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49" fontId="0" fillId="8" borderId="20" xfId="0" applyNumberFormat="1" applyFont="1" applyFill="1" applyBorder="1" applyAlignment="1">
      <alignment horizontal="center" vertical="center" wrapText="1"/>
    </xf>
    <xf numFmtId="0" fontId="84" fillId="0" borderId="0" xfId="0" applyNumberFormat="1" applyFont="1" applyAlignment="1">
      <alignment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11" borderId="3" xfId="0" applyNumberFormat="1" applyFont="1" applyFill="1" applyBorder="1" applyAlignment="1">
      <alignment horizontal="center" vertical="center" wrapText="1"/>
    </xf>
    <xf numFmtId="49" fontId="20"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xf>
    <xf numFmtId="0" fontId="2" fillId="6"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0" xfId="0" applyNumberFormat="1" applyFont="1" applyAlignment="1">
      <alignment horizontal="center" vertical="center" wrapText="1"/>
    </xf>
    <xf numFmtId="49" fontId="2" fillId="11" borderId="3" xfId="0" applyNumberFormat="1" applyFont="1" applyFill="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6" borderId="3" xfId="0" applyNumberFormat="1" applyFont="1" applyFill="1" applyBorder="1" applyAlignment="1">
      <alignment horizontal="center" vertical="center" wrapText="1"/>
    </xf>
    <xf numFmtId="0" fontId="20" fillId="6" borderId="0" xfId="0" applyNumberFormat="1" applyFont="1" applyFill="1" applyAlignment="1">
      <alignment horizontal="center" vertical="center" wrapText="1"/>
    </xf>
    <xf numFmtId="0" fontId="0"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0" fontId="8" fillId="0" borderId="0" xfId="0" applyNumberFormat="1" applyFont="1" applyAlignment="1">
      <alignment horizontal="center" vertical="center" wrapText="1"/>
    </xf>
    <xf numFmtId="165" fontId="2" fillId="8" borderId="6" xfId="0" applyNumberFormat="1" applyFont="1" applyFill="1" applyBorder="1" applyAlignment="1">
      <alignment horizontal="right" vertical="center" wrapText="1"/>
    </xf>
    <xf numFmtId="0" fontId="85" fillId="0" borderId="0" xfId="0" applyNumberFormat="1" applyFont="1" applyAlignment="1">
      <alignment vertical="center" wrapText="1"/>
    </xf>
    <xf numFmtId="0" fontId="85" fillId="6" borderId="0" xfId="0" applyNumberFormat="1" applyFont="1" applyFill="1" applyAlignment="1">
      <alignment horizontal="center" vertical="center" wrapText="1"/>
    </xf>
    <xf numFmtId="0" fontId="20" fillId="6" borderId="3" xfId="0" applyNumberFormat="1" applyFont="1" applyFill="1" applyBorder="1" applyAlignment="1">
      <alignment horizontal="left" vertical="center" wrapText="1" indent="3"/>
    </xf>
    <xf numFmtId="49" fontId="12" fillId="8" borderId="18" xfId="0" applyNumberFormat="1" applyFont="1" applyFill="1" applyBorder="1" applyAlignment="1">
      <alignment horizontal="left" vertical="center"/>
    </xf>
    <xf numFmtId="0" fontId="85" fillId="0" borderId="0" xfId="0" applyNumberFormat="1" applyFont="1" applyAlignment="1">
      <alignment horizontal="center" vertical="center" wrapText="1"/>
    </xf>
    <xf numFmtId="49" fontId="20" fillId="0" borderId="0" xfId="0" applyNumberFormat="1" applyFont="1" applyAlignment="1">
      <alignment horizontal="left" vertical="center" wrapText="1" indent="1"/>
    </xf>
    <xf numFmtId="0" fontId="20" fillId="0" borderId="0" xfId="0" applyNumberFormat="1" applyFont="1" applyAlignment="1">
      <alignment horizontal="left" vertical="center" wrapText="1" indent="4"/>
    </xf>
    <xf numFmtId="0" fontId="20" fillId="0" borderId="0" xfId="0" applyNumberFormat="1" applyFont="1" applyAlignment="1">
      <alignment horizontal="left" vertical="center" wrapText="1" indent="1"/>
    </xf>
    <xf numFmtId="49" fontId="2" fillId="8" borderId="5" xfId="0" applyNumberFormat="1" applyFont="1" applyFill="1" applyBorder="1" applyAlignment="1">
      <alignment horizontal="center" vertical="center" wrapText="1"/>
    </xf>
    <xf numFmtId="0" fontId="20" fillId="0" borderId="15" xfId="0" applyNumberFormat="1" applyFont="1" applyBorder="1" applyAlignment="1">
      <alignment horizontal="left" vertical="center" wrapText="1" indent="1"/>
    </xf>
    <xf numFmtId="0" fontId="19" fillId="0" borderId="0" xfId="0" applyNumberFormat="1" applyFont="1" applyAlignment="1">
      <alignment horizontal="left" vertical="center"/>
    </xf>
    <xf numFmtId="49" fontId="19" fillId="0" borderId="0" xfId="0" applyNumberFormat="1" applyFont="1" applyAlignment="1">
      <alignment horizontal="left" vertical="center"/>
    </xf>
    <xf numFmtId="0" fontId="19" fillId="0" borderId="0" xfId="0" applyNumberFormat="1" applyFont="1" applyAlignment="1">
      <alignment horizontal="left" vertical="center"/>
    </xf>
    <xf numFmtId="0" fontId="42" fillId="0" borderId="0" xfId="0" applyNumberFormat="1" applyFont="1" applyAlignment="1">
      <alignment horizontal="left" vertical="center"/>
    </xf>
    <xf numFmtId="0" fontId="20" fillId="0" borderId="0" xfId="0" applyNumberFormat="1" applyFont="1" applyAlignment="1">
      <alignment horizontal="left" vertical="center"/>
    </xf>
    <xf numFmtId="49" fontId="2" fillId="0" borderId="0" xfId="0" applyNumberFormat="1" applyFont="1" applyAlignment="1">
      <alignment horizontal="center" vertical="center" wrapText="1"/>
    </xf>
    <xf numFmtId="49" fontId="2" fillId="0" borderId="10" xfId="0" applyNumberFormat="1" applyFont="1" applyBorder="1" applyAlignment="1">
      <alignment horizontal="center" vertical="center" wrapText="1"/>
    </xf>
    <xf numFmtId="49" fontId="2" fillId="0" borderId="10" xfId="0" applyNumberFormat="1" applyFont="1" applyBorder="1" applyAlignment="1">
      <alignment horizontal="left" vertical="center" wrapText="1"/>
    </xf>
    <xf numFmtId="0" fontId="8" fillId="0" borderId="0" xfId="0" applyNumberFormat="1" applyFont="1" applyAlignment="1">
      <alignment horizontal="center" vertical="center" wrapText="1"/>
    </xf>
    <xf numFmtId="0" fontId="8" fillId="6" borderId="0" xfId="0" applyNumberFormat="1" applyFont="1" applyFill="1" applyAlignment="1">
      <alignment horizontal="center" vertical="center" wrapText="1"/>
    </xf>
    <xf numFmtId="49" fontId="19" fillId="0" borderId="0" xfId="0" applyNumberFormat="1" applyFont="1" applyAlignment="1">
      <alignment horizontal="left" vertical="center"/>
    </xf>
    <xf numFmtId="49" fontId="19" fillId="0" borderId="0" xfId="0" applyNumberFormat="1" applyFont="1" applyAlignment="1">
      <alignment horizontal="left" vertical="center"/>
    </xf>
    <xf numFmtId="49" fontId="19" fillId="0" borderId="0" xfId="0" applyNumberFormat="1" applyFont="1" applyAlignment="1">
      <alignment horizontal="left" vertical="top"/>
    </xf>
    <xf numFmtId="49" fontId="2" fillId="6" borderId="3" xfId="0" applyNumberFormat="1" applyFont="1" applyFill="1" applyBorder="1" applyAlignment="1">
      <alignment horizontal="center" vertical="center"/>
    </xf>
    <xf numFmtId="0"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1"/>
    </xf>
    <xf numFmtId="49" fontId="2" fillId="0" borderId="3" xfId="0" applyNumberFormat="1" applyFont="1" applyBorder="1" applyAlignment="1">
      <alignment horizontal="center" vertical="center"/>
    </xf>
    <xf numFmtId="0" fontId="2" fillId="0" borderId="3" xfId="0" applyNumberFormat="1" applyFont="1" applyBorder="1" applyAlignment="1">
      <alignment horizontal="left" vertical="center" wrapText="1" indent="1"/>
    </xf>
    <xf numFmtId="0" fontId="2" fillId="0" borderId="3" xfId="0" applyNumberFormat="1" applyFont="1" applyBorder="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xf>
    <xf numFmtId="0" fontId="46" fillId="6" borderId="0" xfId="0" applyNumberFormat="1" applyFont="1" applyFill="1" applyAlignment="1">
      <alignment vertical="center" wrapText="1"/>
    </xf>
    <xf numFmtId="49" fontId="2" fillId="7" borderId="3" xfId="0" applyNumberFormat="1" applyFont="1" applyFill="1" applyBorder="1" applyAlignment="1" applyProtection="1">
      <alignment horizontal="left" vertical="center" wrapText="1"/>
      <protection locked="0"/>
    </xf>
    <xf numFmtId="0" fontId="57" fillId="6" borderId="0" xfId="0" applyNumberFormat="1" applyFont="1" applyFill="1" applyAlignment="1"/>
    <xf numFmtId="0" fontId="41" fillId="6" borderId="0" xfId="0" applyNumberFormat="1" applyFont="1" applyFill="1" applyAlignment="1"/>
    <xf numFmtId="14" fontId="2" fillId="10" borderId="14" xfId="0" applyNumberFormat="1" applyFont="1" applyFill="1" applyBorder="1" applyAlignment="1" applyProtection="1">
      <alignment horizontal="left" vertical="center" wrapText="1" indent="1"/>
      <protection locked="0"/>
    </xf>
    <xf numFmtId="0" fontId="86" fillId="0" borderId="0" xfId="0" applyNumberFormat="1" applyFont="1" applyAlignment="1">
      <alignment vertical="center"/>
    </xf>
    <xf numFmtId="0" fontId="86" fillId="0" borderId="0" xfId="0" applyNumberFormat="1" applyFont="1" applyAlignment="1">
      <alignment vertical="center" wrapText="1"/>
    </xf>
    <xf numFmtId="164" fontId="2" fillId="0" borderId="14" xfId="0" applyNumberFormat="1" applyFont="1" applyBorder="1" applyAlignment="1">
      <alignment horizontal="center" vertical="center" wrapText="1"/>
    </xf>
    <xf numFmtId="14" fontId="2" fillId="10" borderId="3" xfId="0" applyNumberFormat="1" applyFont="1" applyFill="1" applyBorder="1" applyAlignment="1" applyProtection="1">
      <alignment horizontal="left" vertical="center" wrapText="1" indent="1"/>
      <protection locked="0"/>
    </xf>
    <xf numFmtId="0" fontId="2" fillId="5" borderId="14" xfId="0" applyNumberFormat="1" applyFont="1" applyFill="1" applyBorder="1" applyAlignment="1">
      <alignment horizontal="left" vertical="center" wrapText="1" indent="1"/>
    </xf>
    <xf numFmtId="164" fontId="2" fillId="0" borderId="8" xfId="0" applyNumberFormat="1" applyFont="1" applyBorder="1" applyAlignment="1">
      <alignment horizontal="center" vertical="center" wrapText="1"/>
    </xf>
    <xf numFmtId="49" fontId="22" fillId="8" borderId="21" xfId="0" applyNumberFormat="1" applyFont="1" applyFill="1" applyBorder="1" applyAlignment="1">
      <alignment horizontal="right" vertical="center" wrapText="1"/>
    </xf>
    <xf numFmtId="49" fontId="0" fillId="8" borderId="18" xfId="0" applyNumberFormat="1" applyFont="1" applyFill="1" applyBorder="1" applyAlignment="1">
      <alignment horizontal="right" vertical="center" wrapText="1"/>
    </xf>
    <xf numFmtId="49" fontId="0" fillId="8" borderId="3" xfId="0" applyNumberFormat="1" applyFont="1" applyFill="1" applyBorder="1" applyAlignment="1">
      <alignment horizontal="right" vertical="center" wrapText="1"/>
    </xf>
    <xf numFmtId="49" fontId="22" fillId="8" borderId="18" xfId="0" applyNumberFormat="1" applyFont="1" applyFill="1" applyBorder="1" applyAlignment="1">
      <alignment horizontal="right" vertical="center" wrapText="1"/>
    </xf>
    <xf numFmtId="49" fontId="26" fillId="10" borderId="14" xfId="0" applyNumberFormat="1" applyFont="1" applyFill="1" applyBorder="1" applyAlignment="1" applyProtection="1">
      <alignment horizontal="left" vertical="center" wrapText="1"/>
      <protection locked="0"/>
    </xf>
    <xf numFmtId="49" fontId="26" fillId="10" borderId="21" xfId="0" applyNumberFormat="1" applyFont="1" applyFill="1" applyBorder="1" applyAlignment="1" applyProtection="1">
      <alignment horizontal="left" vertical="center" wrapText="1"/>
      <protection locked="0"/>
    </xf>
    <xf numFmtId="49" fontId="26" fillId="8" borderId="18" xfId="0" applyNumberFormat="1" applyFont="1" applyFill="1" applyBorder="1" applyAlignment="1">
      <alignment horizontal="left" vertical="center" wrapText="1"/>
    </xf>
    <xf numFmtId="49" fontId="26" fillId="8" borderId="14" xfId="0" applyNumberFormat="1" applyFont="1" applyFill="1" applyBorder="1" applyAlignment="1">
      <alignment horizontal="left" vertical="center" wrapText="1"/>
    </xf>
    <xf numFmtId="0" fontId="20" fillId="0" borderId="18" xfId="0" applyNumberFormat="1" applyFont="1" applyBorder="1" applyAlignment="1">
      <alignment horizontal="center" vertical="center" wrapText="1"/>
    </xf>
    <xf numFmtId="0" fontId="20" fillId="0" borderId="0" xfId="0" applyNumberFormat="1" applyFont="1" applyAlignment="1">
      <alignment horizontal="center" vertical="center"/>
    </xf>
    <xf numFmtId="0" fontId="20" fillId="0" borderId="0" xfId="0" applyNumberFormat="1" applyFont="1" applyAlignment="1">
      <alignment horizontal="center" vertical="center"/>
    </xf>
    <xf numFmtId="0" fontId="28" fillId="0" borderId="0" xfId="0" applyNumberFormat="1" applyFont="1" applyAlignment="1">
      <alignment horizontal="center" vertical="center"/>
    </xf>
    <xf numFmtId="14" fontId="2" fillId="11" borderId="3" xfId="0" applyNumberFormat="1" applyFont="1" applyFill="1" applyBorder="1" applyAlignment="1">
      <alignment horizontal="left" vertical="center" wrapText="1"/>
    </xf>
    <xf numFmtId="164" fontId="2" fillId="0" borderId="28" xfId="0" applyNumberFormat="1" applyFont="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0" fontId="19" fillId="6" borderId="0" xfId="0" applyNumberFormat="1" applyFont="1" applyFill="1" applyAlignment="1"/>
    <xf numFmtId="164" fontId="17" fillId="0" borderId="49" xfId="0" applyNumberFormat="1" applyFont="1" applyBorder="1" applyAlignment="1">
      <alignment horizontal="center" vertical="center" wrapText="1"/>
    </xf>
    <xf numFmtId="164" fontId="17" fillId="0" borderId="49" xfId="0" applyNumberFormat="1" applyFont="1" applyBorder="1" applyAlignment="1">
      <alignment horizontal="center" vertical="center" wrapText="1"/>
    </xf>
    <xf numFmtId="49" fontId="26" fillId="10" borderId="18" xfId="0" applyNumberFormat="1" applyFont="1" applyFill="1" applyBorder="1" applyAlignment="1" applyProtection="1">
      <alignment horizontal="left" vertical="center" wrapText="1"/>
      <protection locked="0"/>
    </xf>
    <xf numFmtId="0" fontId="2" fillId="0" borderId="6" xfId="0" applyNumberFormat="1" applyFont="1" applyBorder="1" applyAlignment="1">
      <alignment horizontal="right" vertical="center" wrapText="1" indent="1"/>
    </xf>
    <xf numFmtId="0" fontId="2" fillId="5" borderId="5" xfId="0" applyNumberFormat="1" applyFont="1" applyFill="1" applyBorder="1" applyAlignment="1">
      <alignment horizontal="left" vertical="top" wrapText="1"/>
    </xf>
    <xf numFmtId="49" fontId="20" fillId="0" borderId="0" xfId="0" applyNumberFormat="1" applyFont="1" applyAlignment="1">
      <alignment horizontal="center" vertical="center"/>
    </xf>
    <xf numFmtId="0" fontId="14" fillId="0" borderId="0" xfId="0" applyNumberFormat="1" applyFont="1" applyAlignment="1">
      <alignment vertical="center"/>
    </xf>
    <xf numFmtId="0" fontId="2" fillId="0" borderId="27" xfId="0" applyNumberFormat="1" applyFont="1" applyBorder="1" applyAlignment="1">
      <alignment horizontal="center" vertical="center" wrapText="1"/>
    </xf>
    <xf numFmtId="0" fontId="2" fillId="0" borderId="28"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49" fontId="2" fillId="0" borderId="27" xfId="0" applyNumberFormat="1" applyFont="1" applyBorder="1" applyAlignment="1">
      <alignment horizontal="left" vertical="center" wrapText="1"/>
    </xf>
    <xf numFmtId="49" fontId="2" fillId="0" borderId="2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0" fontId="2" fillId="0" borderId="27" xfId="0" applyNumberFormat="1" applyFont="1" applyBorder="1" applyAlignment="1">
      <alignment horizontal="left" vertical="center" wrapText="1"/>
    </xf>
    <xf numFmtId="49" fontId="2" fillId="0" borderId="27" xfId="0" applyNumberFormat="1" applyFont="1" applyBorder="1" applyAlignment="1">
      <alignment vertical="center" wrapText="1"/>
    </xf>
    <xf numFmtId="0" fontId="2" fillId="0" borderId="14" xfId="0" applyNumberFormat="1" applyFont="1" applyBorder="1" applyAlignment="1">
      <alignment horizontal="left" vertical="center" wrapText="1"/>
    </xf>
    <xf numFmtId="0" fontId="12" fillId="0" borderId="14" xfId="0" applyNumberFormat="1" applyFont="1" applyBorder="1" applyAlignment="1">
      <alignment horizontal="left" vertical="center"/>
    </xf>
    <xf numFmtId="0" fontId="12" fillId="8" borderId="5" xfId="0" applyNumberFormat="1" applyFont="1" applyFill="1" applyBorder="1" applyAlignment="1">
      <alignment horizontal="left" vertical="center"/>
    </xf>
    <xf numFmtId="0" fontId="12" fillId="0" borderId="27" xfId="0" applyNumberFormat="1" applyFont="1" applyBorder="1" applyAlignment="1">
      <alignment horizontal="left" vertical="center"/>
    </xf>
    <xf numFmtId="0" fontId="12" fillId="8" borderId="28" xfId="0" applyNumberFormat="1" applyFont="1" applyFill="1" applyBorder="1" applyAlignment="1">
      <alignment horizontal="left" vertical="center"/>
    </xf>
    <xf numFmtId="49" fontId="40" fillId="8" borderId="5" xfId="0" applyNumberFormat="1" applyFont="1" applyFill="1" applyBorder="1">
      <alignment vertical="top"/>
    </xf>
    <xf numFmtId="49" fontId="40" fillId="8" borderId="6" xfId="0" applyNumberFormat="1" applyFont="1" applyFill="1" applyBorder="1">
      <alignment vertical="top"/>
    </xf>
    <xf numFmtId="49" fontId="2" fillId="11" borderId="8" xfId="0" applyNumberFormat="1" applyFont="1" applyFill="1" applyBorder="1" applyAlignment="1">
      <alignment vertical="center" wrapText="1"/>
    </xf>
    <xf numFmtId="0" fontId="2" fillId="0" borderId="28" xfId="0" applyNumberFormat="1" applyFont="1" applyBorder="1" applyAlignment="1">
      <alignment horizontal="center" vertical="center" wrapText="1"/>
    </xf>
    <xf numFmtId="49" fontId="0" fillId="0" borderId="0" xfId="0" applyNumberFormat="1" applyFont="1">
      <alignment vertical="top"/>
    </xf>
    <xf numFmtId="49" fontId="19" fillId="0" borderId="0" xfId="0" applyNumberFormat="1" applyFont="1" applyAlignment="1">
      <alignment horizontal="center" vertical="center"/>
    </xf>
    <xf numFmtId="0" fontId="87" fillId="0" borderId="0" xfId="0" applyNumberFormat="1" applyFont="1" applyAlignment="1">
      <alignment vertical="center" wrapText="1"/>
    </xf>
    <xf numFmtId="0" fontId="88" fillId="0" borderId="0" xfId="0" applyNumberFormat="1" applyFont="1" applyAlignment="1">
      <alignment vertical="center" wrapText="1"/>
    </xf>
    <xf numFmtId="0" fontId="2" fillId="0" borderId="8"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0" fontId="2" fillId="0" borderId="0" xfId="0" applyNumberFormat="1" applyFont="1" applyAlignment="1">
      <alignment horizontal="left" vertical="center" wrapText="1"/>
    </xf>
    <xf numFmtId="49" fontId="2" fillId="0" borderId="10" xfId="0" applyNumberFormat="1" applyFont="1" applyBorder="1" applyAlignment="1">
      <alignment vertical="center" wrapText="1"/>
    </xf>
    <xf numFmtId="49" fontId="2" fillId="0" borderId="10" xfId="0" applyNumberFormat="1" applyFont="1" applyBorder="1" applyAlignment="1">
      <alignment horizontal="left" vertical="center" wrapText="1"/>
    </xf>
    <xf numFmtId="49" fontId="8" fillId="0" borderId="10" xfId="0" applyNumberFormat="1" applyFont="1" applyBorder="1" applyAlignment="1">
      <alignment vertical="center" wrapText="1"/>
    </xf>
    <xf numFmtId="49" fontId="2" fillId="0" borderId="10" xfId="0" applyNumberFormat="1" applyFont="1" applyBorder="1" applyAlignment="1">
      <alignment horizontal="center" vertical="center" wrapText="1"/>
    </xf>
    <xf numFmtId="0" fontId="2" fillId="0" borderId="10" xfId="0" applyNumberFormat="1" applyFont="1" applyBorder="1" applyAlignment="1">
      <alignment horizontal="left" vertical="center" wrapText="1"/>
    </xf>
    <xf numFmtId="49" fontId="2" fillId="0" borderId="10" xfId="0" applyNumberFormat="1" applyFont="1" applyBorder="1" applyAlignment="1">
      <alignment vertical="center" wrapText="1"/>
    </xf>
    <xf numFmtId="49" fontId="2" fillId="0" borderId="0" xfId="0" applyNumberFormat="1" applyFont="1" applyAlignment="1">
      <alignment vertical="center" wrapText="1"/>
    </xf>
    <xf numFmtId="49" fontId="2" fillId="0" borderId="0" xfId="0" applyNumberFormat="1" applyFont="1" applyAlignment="1">
      <alignment horizontal="left" vertical="center" wrapText="1"/>
    </xf>
    <xf numFmtId="49" fontId="8" fillId="0" borderId="0" xfId="0" applyNumberFormat="1" applyFont="1" applyAlignment="1">
      <alignment vertical="center" wrapText="1"/>
    </xf>
    <xf numFmtId="49" fontId="2" fillId="0" borderId="0" xfId="0" applyNumberFormat="1" applyFont="1" applyAlignment="1">
      <alignment horizontal="center" vertical="center" wrapText="1"/>
    </xf>
    <xf numFmtId="0" fontId="2" fillId="0" borderId="0" xfId="0" applyNumberFormat="1" applyFont="1" applyAlignment="1">
      <alignment horizontal="left" vertical="center" wrapText="1"/>
    </xf>
    <xf numFmtId="0" fontId="12" fillId="0" borderId="0" xfId="0" applyNumberFormat="1" applyFont="1" applyAlignment="1">
      <alignment horizontal="left" vertical="center"/>
    </xf>
    <xf numFmtId="49" fontId="8" fillId="0" borderId="0" xfId="0" applyNumberFormat="1" applyFont="1" applyAlignment="1">
      <alignment horizontal="center" vertical="center" wrapText="1"/>
    </xf>
    <xf numFmtId="0" fontId="12" fillId="0" borderId="0" xfId="0" applyNumberFormat="1" applyFont="1" applyAlignment="1">
      <alignment vertical="center"/>
    </xf>
    <xf numFmtId="49" fontId="40" fillId="0" borderId="21" xfId="0" applyNumberFormat="1" applyFont="1" applyBorder="1">
      <alignment vertical="top"/>
    </xf>
    <xf numFmtId="49" fontId="2" fillId="0" borderId="28" xfId="0" applyNumberFormat="1" applyFont="1" applyBorder="1" applyAlignment="1">
      <alignment vertical="center" wrapText="1"/>
    </xf>
    <xf numFmtId="49" fontId="2" fillId="0" borderId="13" xfId="0" applyNumberFormat="1" applyFont="1" applyBorder="1" applyAlignment="1">
      <alignment vertical="center" wrapText="1"/>
    </xf>
    <xf numFmtId="0" fontId="12" fillId="0" borderId="13" xfId="0" applyNumberFormat="1" applyFont="1" applyBorder="1" applyAlignment="1">
      <alignment horizontal="left" vertical="center"/>
    </xf>
    <xf numFmtId="49" fontId="40" fillId="0" borderId="18" xfId="0" applyNumberFormat="1" applyFont="1" applyBorder="1">
      <alignment vertical="top"/>
    </xf>
    <xf numFmtId="49" fontId="2" fillId="0" borderId="27" xfId="0" applyNumberFormat="1" applyFont="1" applyBorder="1" applyAlignment="1">
      <alignment horizontal="center" vertical="center" wrapText="1"/>
    </xf>
    <xf numFmtId="0" fontId="12" fillId="8"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2" fillId="0" borderId="0" xfId="0" applyNumberFormat="1" applyFont="1" applyAlignment="1">
      <alignment vertical="center" wrapText="1"/>
    </xf>
    <xf numFmtId="0" fontId="2" fillId="0" borderId="0" xfId="0" applyNumberFormat="1" applyFont="1" applyAlignment="1">
      <alignment horizontal="left" vertical="center" wrapText="1"/>
    </xf>
    <xf numFmtId="0" fontId="31" fillId="0" borderId="0" xfId="0" applyNumberFormat="1" applyFont="1" applyAlignment="1">
      <alignment vertical="center" wrapText="1"/>
    </xf>
    <xf numFmtId="0" fontId="20" fillId="0" borderId="0" xfId="0" applyNumberFormat="1" applyFont="1" applyAlignment="1">
      <alignment vertical="center" wrapText="1"/>
    </xf>
    <xf numFmtId="0" fontId="37" fillId="0" borderId="0" xfId="0" applyNumberFormat="1" applyFont="1" applyAlignment="1">
      <alignment vertical="center" wrapText="1"/>
    </xf>
    <xf numFmtId="49" fontId="2" fillId="0" borderId="3" xfId="0" applyNumberFormat="1" applyFont="1" applyBorder="1" applyAlignment="1">
      <alignment horizontal="center" vertical="center" wrapText="1"/>
    </xf>
    <xf numFmtId="0" fontId="8"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49" fontId="2" fillId="0" borderId="3" xfId="0" applyNumberFormat="1" applyFont="1" applyBorder="1" applyAlignment="1">
      <alignment horizontal="center" vertical="center" wrapText="1"/>
    </xf>
    <xf numFmtId="3" fontId="2" fillId="10" borderId="3" xfId="0" applyNumberFormat="1" applyFont="1" applyFill="1" applyBorder="1" applyAlignment="1" applyProtection="1">
      <alignment horizontal="right" vertical="center" wrapText="1"/>
      <protection locked="0"/>
    </xf>
    <xf numFmtId="0" fontId="20" fillId="0" borderId="0" xfId="0" applyNumberFormat="1" applyFont="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0" fillId="0" borderId="0" xfId="0" applyNumberFormat="1" applyFont="1" applyAlignment="1">
      <alignment vertical="center"/>
    </xf>
    <xf numFmtId="0" fontId="8" fillId="6" borderId="3" xfId="0" applyNumberFormat="1" applyFont="1" applyFill="1" applyBorder="1" applyAlignment="1">
      <alignment horizontal="center" vertical="center" wrapText="1"/>
    </xf>
    <xf numFmtId="0" fontId="19" fillId="0" borderId="13" xfId="0" applyNumberFormat="1" applyFont="1" applyBorder="1" applyAlignment="1">
      <alignment vertical="center"/>
    </xf>
    <xf numFmtId="0" fontId="19" fillId="0" borderId="13" xfId="0" applyNumberFormat="1" applyFont="1" applyBorder="1" applyAlignment="1">
      <alignment vertical="center"/>
    </xf>
    <xf numFmtId="0" fontId="2" fillId="0" borderId="8" xfId="0" applyNumberFormat="1" applyFont="1" applyBorder="1" applyAlignment="1">
      <alignment horizontal="left" vertical="center" wrapText="1" indent="1"/>
    </xf>
    <xf numFmtId="49" fontId="2" fillId="0" borderId="50"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7" fillId="0" borderId="0" xfId="0" applyNumberFormat="1" applyFont="1" applyAlignment="1">
      <alignment vertical="center"/>
    </xf>
    <xf numFmtId="0" fontId="20"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horizontal="left" vertical="center" wrapText="1" indent="2"/>
    </xf>
    <xf numFmtId="0" fontId="20" fillId="0" borderId="8"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0" fillId="0" borderId="5" xfId="0" applyNumberFormat="1" applyFont="1" applyBorder="1" applyAlignment="1">
      <alignment vertical="center" wrapText="1"/>
    </xf>
    <xf numFmtId="0" fontId="20" fillId="0" borderId="5" xfId="0" applyNumberFormat="1" applyFont="1" applyBorder="1" applyAlignment="1">
      <alignment horizontal="left" vertical="top" wrapText="1"/>
    </xf>
    <xf numFmtId="49" fontId="2" fillId="0" borderId="51"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49" fontId="12" fillId="8"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2"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49" fontId="2" fillId="11" borderId="3" xfId="0" applyNumberFormat="1" applyFont="1" applyFill="1" applyBorder="1" applyAlignment="1">
      <alignment horizontal="left" vertical="center" wrapText="1"/>
    </xf>
    <xf numFmtId="49" fontId="2" fillId="0" borderId="52" xfId="0" applyNumberFormat="1" applyFont="1" applyBorder="1" applyAlignment="1">
      <alignment horizontal="center" vertical="center" wrapText="1"/>
    </xf>
    <xf numFmtId="4" fontId="2" fillId="10" borderId="8" xfId="0" applyNumberFormat="1" applyFont="1" applyFill="1" applyBorder="1" applyAlignment="1" applyProtection="1">
      <alignment horizontal="right" vertical="center" wrapText="1"/>
      <protection locked="0"/>
    </xf>
    <xf numFmtId="49" fontId="12" fillId="0" borderId="10" xfId="0" applyNumberFormat="1" applyFont="1" applyBorder="1" applyAlignment="1">
      <alignment horizontal="left" vertical="center"/>
    </xf>
    <xf numFmtId="49" fontId="12" fillId="0" borderId="10" xfId="0" applyNumberFormat="1" applyFont="1" applyBorder="1" applyAlignment="1">
      <alignment horizontal="left" vertical="center" indent="2"/>
    </xf>
    <xf numFmtId="49" fontId="16" fillId="0" borderId="10" xfId="0" applyNumberFormat="1" applyFont="1" applyBorder="1" applyAlignment="1">
      <alignment horizontal="center" vertical="top"/>
    </xf>
    <xf numFmtId="0" fontId="2" fillId="0" borderId="10" xfId="0" applyNumberFormat="1" applyFont="1" applyBorder="1" applyAlignment="1">
      <alignment horizontal="left" vertical="top" wrapText="1"/>
    </xf>
    <xf numFmtId="0" fontId="2" fillId="0" borderId="0" xfId="0" applyNumberFormat="1" applyFont="1" applyAlignment="1">
      <alignment horizontal="right" vertical="top" wrapText="1"/>
    </xf>
    <xf numFmtId="49" fontId="0" fillId="10" borderId="3" xfId="0" applyNumberFormat="1" applyFont="1" applyFill="1" applyBorder="1" applyAlignment="1" applyProtection="1">
      <alignment horizontal="left" vertical="center" wrapText="1" indent="1"/>
      <protection locked="0"/>
    </xf>
    <xf numFmtId="49" fontId="19" fillId="0" borderId="0" xfId="0" applyNumberFormat="1" applyFont="1">
      <alignment vertical="top"/>
    </xf>
    <xf numFmtId="49"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0" fontId="2" fillId="6" borderId="0" xfId="0" applyNumberFormat="1" applyFont="1" applyFill="1" applyAlignment="1"/>
    <xf numFmtId="0" fontId="2" fillId="0" borderId="0" xfId="0" applyNumberFormat="1" applyFont="1" applyAlignment="1">
      <alignment vertical="top" wrapText="1"/>
    </xf>
    <xf numFmtId="0" fontId="8" fillId="6" borderId="0" xfId="0" applyNumberFormat="1" applyFont="1" applyFill="1" applyAlignment="1">
      <alignment horizontal="center" vertical="center" wrapText="1"/>
    </xf>
    <xf numFmtId="0" fontId="0" fillId="6"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49" fontId="0" fillId="0" borderId="0" xfId="0" applyNumberFormat="1" applyFont="1" applyAlignment="1">
      <alignment vertical="center"/>
    </xf>
    <xf numFmtId="0" fontId="0" fillId="19" borderId="0" xfId="0" applyNumberFormat="1" applyFont="1" applyFill="1" applyAlignment="1">
      <alignment horizontal="right" vertical="center"/>
    </xf>
    <xf numFmtId="0" fontId="27" fillId="19" borderId="0" xfId="0" applyNumberFormat="1" applyFont="1" applyFill="1" applyAlignment="1">
      <alignment horizontal="left" vertical="center"/>
    </xf>
    <xf numFmtId="0" fontId="0" fillId="0" borderId="0" xfId="0" applyNumberFormat="1" applyFont="1" applyAlignment="1">
      <alignment horizontal="right" vertical="top"/>
    </xf>
    <xf numFmtId="0" fontId="0" fillId="19" borderId="1" xfId="0" applyNumberFormat="1" applyFont="1" applyFill="1" applyBorder="1" applyAlignment="1">
      <alignment horizontal="center"/>
    </xf>
    <xf numFmtId="0" fontId="0" fillId="0" borderId="1" xfId="0" applyNumberFormat="1" applyFont="1" applyBorder="1" applyAlignment="1">
      <alignment horizontal="center"/>
    </xf>
    <xf numFmtId="0" fontId="89" fillId="0" borderId="0" xfId="0" applyNumberFormat="1" applyFont="1" applyAlignment="1">
      <alignment wrapText="1"/>
    </xf>
    <xf numFmtId="49" fontId="39" fillId="0" borderId="0" xfId="0" applyNumberFormat="1" applyFont="1" applyAlignment="1">
      <alignment wrapText="1"/>
    </xf>
    <xf numFmtId="49" fontId="39" fillId="0" borderId="0" xfId="0" applyNumberFormat="1" applyFont="1" applyAlignment="1">
      <alignment vertical="center" wrapText="1"/>
    </xf>
    <xf numFmtId="49" fontId="90" fillId="0" borderId="0" xfId="0" applyNumberFormat="1" applyFont="1" applyAlignment="1">
      <alignment wrapText="1"/>
    </xf>
    <xf numFmtId="0" fontId="76" fillId="0" borderId="0" xfId="0" applyNumberFormat="1" applyFont="1" applyAlignment="1">
      <alignment horizontal="left" vertical="center" wrapText="1"/>
    </xf>
    <xf numFmtId="49" fontId="91" fillId="0" borderId="0" xfId="0" applyNumberFormat="1" applyFont="1" applyAlignment="1">
      <alignment wrapText="1"/>
    </xf>
    <xf numFmtId="0" fontId="18" fillId="0" borderId="0" xfId="0" applyNumberFormat="1" applyFont="1" applyAlignment="1">
      <alignment horizontal="left" vertical="top" wrapText="1"/>
    </xf>
    <xf numFmtId="49" fontId="2" fillId="0" borderId="0" xfId="0" applyNumberFormat="1" applyFont="1" applyAlignment="1">
      <alignment vertical="top" wrapText="1"/>
    </xf>
    <xf numFmtId="0" fontId="39" fillId="0" borderId="0" xfId="0" applyNumberFormat="1" applyFont="1" applyAlignment="1">
      <alignment wrapText="1"/>
    </xf>
    <xf numFmtId="0" fontId="92" fillId="0" borderId="0" xfId="0" applyNumberFormat="1" applyFont="1" applyAlignment="1">
      <alignment horizontal="left" vertical="center" wrapText="1"/>
    </xf>
    <xf numFmtId="0" fontId="93" fillId="0" borderId="0" xfId="0" applyNumberFormat="1" applyFont="1" applyAlignment="1">
      <alignment vertical="center" wrapText="1"/>
    </xf>
    <xf numFmtId="0" fontId="39" fillId="0" borderId="29" xfId="0" applyNumberFormat="1" applyFont="1" applyBorder="1" applyAlignment="1">
      <alignment wrapText="1"/>
    </xf>
    <xf numFmtId="0" fontId="39" fillId="0" borderId="0" xfId="0" applyNumberFormat="1" applyFont="1" applyAlignment="1"/>
    <xf numFmtId="0" fontId="92" fillId="0" borderId="0" xfId="0" applyNumberFormat="1" applyFont="1" applyAlignment="1"/>
    <xf numFmtId="0" fontId="94" fillId="0" borderId="0" xfId="0" applyNumberFormat="1" applyFont="1" applyAlignment="1">
      <alignment wrapText="1"/>
    </xf>
    <xf numFmtId="0" fontId="0" fillId="7" borderId="53" xfId="0" applyNumberFormat="1" applyFont="1" applyFill="1" applyBorder="1" applyAlignment="1">
      <alignment horizontal="center" vertical="center" wrapText="1"/>
    </xf>
    <xf numFmtId="0" fontId="0" fillId="24" borderId="53" xfId="0" applyNumberFormat="1" applyFont="1" applyFill="1" applyBorder="1" applyAlignment="1">
      <alignment horizontal="center" vertical="center" wrapText="1"/>
    </xf>
    <xf numFmtId="0" fontId="0" fillId="5" borderId="53" xfId="0" applyNumberFormat="1" applyFont="1" applyFill="1" applyBorder="1" applyAlignment="1">
      <alignment horizontal="center" vertical="center" wrapText="1"/>
    </xf>
    <xf numFmtId="0" fontId="0" fillId="10" borderId="53" xfId="0" applyNumberFormat="1" applyFont="1" applyFill="1" applyBorder="1" applyAlignment="1">
      <alignment horizontal="center" vertical="center" wrapText="1"/>
    </xf>
    <xf numFmtId="0" fontId="92" fillId="0" borderId="29" xfId="0" applyNumberFormat="1" applyFont="1" applyBorder="1" applyAlignment="1">
      <alignment horizontal="left" vertical="center" wrapText="1"/>
    </xf>
    <xf numFmtId="0" fontId="92" fillId="0" borderId="54" xfId="0" applyNumberFormat="1" applyFont="1" applyBorder="1" applyAlignment="1">
      <alignment horizontal="left" vertical="center" wrapText="1"/>
    </xf>
    <xf numFmtId="0" fontId="94" fillId="0" borderId="0" xfId="0" applyNumberFormat="1" applyFont="1" applyAlignment="1"/>
    <xf numFmtId="0" fontId="94" fillId="0" borderId="29" xfId="0" applyNumberFormat="1" applyFont="1" applyBorder="1" applyAlignment="1">
      <alignment wrapText="1"/>
    </xf>
    <xf numFmtId="0" fontId="39" fillId="0" borderId="55" xfId="0" applyNumberFormat="1" applyFont="1" applyBorder="1" applyAlignment="1">
      <alignment wrapText="1"/>
    </xf>
    <xf numFmtId="0" fontId="39" fillId="0" borderId="30" xfId="0" applyNumberFormat="1" applyFont="1" applyBorder="1" applyAlignment="1">
      <alignment wrapText="1"/>
    </xf>
    <xf numFmtId="0" fontId="39" fillId="0" borderId="30" xfId="0" applyNumberFormat="1" applyFont="1" applyBorder="1" applyAlignment="1">
      <alignment vertical="center" wrapText="1"/>
    </xf>
    <xf numFmtId="0" fontId="90" fillId="0" borderId="0" xfId="0" applyNumberFormat="1" applyFont="1" applyAlignment="1"/>
    <xf numFmtId="0" fontId="7" fillId="0" borderId="15"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49" fontId="95" fillId="0" borderId="0" xfId="0" applyNumberFormat="1" applyFont="1" applyAlignment="1">
      <alignment horizontal="center" vertical="center" wrapText="1"/>
    </xf>
    <xf numFmtId="49" fontId="2" fillId="19" borderId="0" xfId="0" applyNumberFormat="1" applyFont="1" applyFill="1" applyAlignment="1">
      <alignment horizontal="center" vertical="center"/>
    </xf>
    <xf numFmtId="167" fontId="0" fillId="10" borderId="3" xfId="0" applyNumberFormat="1" applyFont="1" applyFill="1" applyBorder="1" applyAlignment="1" applyProtection="1">
      <alignment horizontal="left" vertical="center" wrapText="1" indent="1"/>
      <protection locked="0"/>
    </xf>
    <xf numFmtId="167" fontId="0" fillId="0" borderId="3" xfId="0" applyNumberFormat="1" applyFont="1" applyBorder="1" applyAlignment="1">
      <alignment horizontal="left" vertical="center" wrapText="1" indent="1"/>
    </xf>
    <xf numFmtId="167" fontId="0" fillId="10" borderId="3" xfId="0" applyNumberFormat="1" applyFont="1" applyFill="1" applyBorder="1" applyAlignment="1" applyProtection="1">
      <alignment horizontal="center" vertical="center" wrapText="1"/>
      <protection locked="0"/>
    </xf>
    <xf numFmtId="167" fontId="20" fillId="0" borderId="0" xfId="0" applyNumberFormat="1" applyFont="1" applyAlignment="1">
      <alignment horizontal="center" vertical="center" wrapText="1"/>
    </xf>
    <xf numFmtId="167" fontId="20" fillId="0" borderId="3" xfId="0" applyNumberFormat="1" applyFont="1" applyBorder="1" applyAlignment="1">
      <alignment horizontal="center" vertical="center" wrapText="1"/>
    </xf>
    <xf numFmtId="167" fontId="0" fillId="10" borderId="3" xfId="0" applyNumberFormat="1" applyFont="1" applyFill="1" applyBorder="1" applyAlignment="1" applyProtection="1">
      <alignment horizontal="left" vertical="center" wrapText="1"/>
      <protection locked="0"/>
    </xf>
    <xf numFmtId="167" fontId="0" fillId="7" borderId="3" xfId="0" applyNumberFormat="1" applyFont="1" applyFill="1" applyBorder="1" applyAlignment="1" applyProtection="1">
      <alignment horizontal="left" vertical="center" wrapText="1" indent="1"/>
      <protection locked="0"/>
    </xf>
    <xf numFmtId="167" fontId="0" fillId="10" borderId="4" xfId="0" applyNumberFormat="1" applyFont="1" applyFill="1" applyBorder="1" applyAlignment="1" applyProtection="1">
      <alignment horizontal="left" vertical="center" wrapText="1"/>
      <protection locked="0"/>
    </xf>
    <xf numFmtId="0" fontId="2" fillId="0" borderId="0" xfId="0" applyNumberFormat="1" applyFont="1" applyAlignment="1">
      <alignment horizontal="left" vertical="top" indent="1"/>
    </xf>
    <xf numFmtId="0" fontId="2" fillId="5"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2" fillId="5" borderId="21" xfId="0" applyNumberFormat="1" applyFont="1" applyFill="1" applyBorder="1" applyAlignment="1">
      <alignment horizontal="left" vertical="top"/>
    </xf>
    <xf numFmtId="0" fontId="2" fillId="0" borderId="3" xfId="0" applyNumberFormat="1" applyFont="1" applyBorder="1" applyAlignment="1">
      <alignment horizontal="left" vertical="top"/>
    </xf>
    <xf numFmtId="49" fontId="2" fillId="0" borderId="0" xfId="0" applyNumberFormat="1" applyFont="1" applyAlignment="1">
      <alignment horizontal="left" vertical="top"/>
    </xf>
    <xf numFmtId="0" fontId="0" fillId="5" borderId="27" xfId="0" applyNumberFormat="1" applyFont="1" applyFill="1" applyBorder="1" applyAlignment="1">
      <alignment horizontal="left" vertical="top" wrapText="1" indent="1"/>
    </xf>
    <xf numFmtId="49" fontId="2" fillId="11" borderId="27" xfId="0" applyNumberFormat="1" applyFont="1" applyFill="1" applyBorder="1" applyAlignment="1">
      <alignment horizontal="center" vertical="top" wrapText="1"/>
    </xf>
    <xf numFmtId="49" fontId="0" fillId="10" borderId="27" xfId="0" applyNumberFormat="1" applyFont="1" applyFill="1" applyBorder="1" applyAlignment="1" applyProtection="1">
      <alignment horizontal="center" vertical="top" wrapText="1"/>
      <protection locked="0"/>
    </xf>
    <xf numFmtId="49" fontId="0" fillId="7" borderId="27" xfId="0" applyNumberFormat="1" applyFont="1" applyFill="1" applyBorder="1" applyAlignment="1" applyProtection="1">
      <alignment horizontal="center" vertical="top" wrapText="1"/>
      <protection locked="0"/>
    </xf>
    <xf numFmtId="49" fontId="2" fillId="11" borderId="27" xfId="0" applyNumberFormat="1" applyFont="1" applyFill="1" applyBorder="1" applyAlignment="1">
      <alignment horizontal="left" vertical="top" wrapText="1"/>
    </xf>
    <xf numFmtId="49" fontId="2" fillId="10" borderId="27" xfId="0" applyNumberFormat="1" applyFont="1" applyFill="1" applyBorder="1" applyAlignment="1" applyProtection="1">
      <alignment horizontal="left" vertical="top" wrapText="1"/>
      <protection locked="0"/>
    </xf>
    <xf numFmtId="49" fontId="0" fillId="5" borderId="27" xfId="0" applyNumberFormat="1" applyFont="1" applyFill="1" applyBorder="1" applyAlignment="1">
      <alignment horizontal="center" vertical="top" wrapText="1"/>
    </xf>
    <xf numFmtId="0" fontId="2" fillId="5" borderId="27" xfId="0" applyNumberFormat="1" applyFont="1" applyFill="1" applyBorder="1" applyAlignment="1">
      <alignment horizontal="center" vertical="top" wrapText="1"/>
    </xf>
    <xf numFmtId="0" fontId="2" fillId="7" borderId="27" xfId="0" applyNumberFormat="1" applyFont="1" applyFill="1" applyBorder="1" applyAlignment="1" applyProtection="1">
      <alignment horizontal="left" vertical="top" wrapText="1"/>
      <protection locked="0"/>
    </xf>
    <xf numFmtId="0" fontId="12" fillId="0" borderId="27" xfId="0" applyNumberFormat="1" applyFont="1" applyBorder="1" applyAlignment="1">
      <alignment horizontal="left" vertical="center"/>
    </xf>
    <xf numFmtId="0" fontId="12" fillId="7" borderId="27" xfId="0" applyNumberFormat="1" applyFont="1" applyFill="1" applyBorder="1" applyAlignment="1" applyProtection="1">
      <alignment horizontal="left" vertical="center"/>
      <protection locked="0"/>
    </xf>
    <xf numFmtId="0" fontId="12" fillId="10" borderId="27" xfId="0" applyNumberFormat="1" applyFont="1" applyFill="1" applyBorder="1" applyAlignment="1" applyProtection="1">
      <alignment horizontal="left" vertical="center"/>
      <protection locked="0"/>
    </xf>
    <xf numFmtId="14" fontId="2" fillId="11" borderId="27" xfId="0" applyNumberFormat="1" applyFont="1" applyFill="1" applyBorder="1" applyAlignment="1">
      <alignment horizontal="left" vertical="center" wrapText="1" indent="1"/>
    </xf>
    <xf numFmtId="49" fontId="2" fillId="11"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0" fillId="6" borderId="3" xfId="0" applyNumberFormat="1" applyFont="1" applyFill="1" applyBorder="1" applyAlignment="1">
      <alignment vertical="top" wrapText="1"/>
    </xf>
    <xf numFmtId="0" fontId="19" fillId="0" borderId="3" xfId="0" applyNumberFormat="1" applyFont="1" applyBorder="1" applyAlignment="1">
      <alignment vertical="top" wrapText="1"/>
    </xf>
    <xf numFmtId="49" fontId="2" fillId="11" borderId="8" xfId="0" applyNumberFormat="1" applyFont="1" applyFill="1" applyBorder="1" applyAlignment="1">
      <alignment vertical="center" wrapText="1"/>
    </xf>
    <xf numFmtId="49" fontId="2" fillId="11" borderId="27" xfId="0" applyNumberFormat="1" applyFont="1" applyFill="1" applyBorder="1" applyAlignment="1">
      <alignment vertical="center" wrapText="1"/>
    </xf>
    <xf numFmtId="49" fontId="2" fillId="11" borderId="14" xfId="0" applyNumberFormat="1" applyFont="1" applyFill="1" applyBorder="1" applyAlignment="1">
      <alignment vertical="center" wrapText="1"/>
    </xf>
    <xf numFmtId="0" fontId="0" fillId="10"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2"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2" fillId="0" borderId="0" xfId="0" applyNumberFormat="1" applyFont="1" applyAlignment="1">
      <alignment horizontal="left" vertical="center" indent="1"/>
    </xf>
    <xf numFmtId="167" fontId="0" fillId="10" borderId="5" xfId="0" applyNumberFormat="1" applyFont="1" applyFill="1" applyBorder="1" applyAlignment="1" applyProtection="1">
      <alignment horizontal="left" vertical="center" wrapText="1"/>
      <protection locked="0"/>
    </xf>
    <xf numFmtId="167" fontId="0" fillId="0" borderId="2" xfId="0" applyNumberFormat="1" applyFont="1" applyBorder="1" applyAlignment="1">
      <alignment horizontal="left" vertical="center" wrapText="1" indent="1"/>
    </xf>
    <xf numFmtId="49" fontId="2" fillId="6" borderId="17" xfId="0" applyNumberFormat="1" applyFont="1" applyFill="1" applyBorder="1" applyAlignment="1">
      <alignment horizontal="right" vertical="center" wrapText="1" indent="1"/>
    </xf>
    <xf numFmtId="49" fontId="19" fillId="0" borderId="0" xfId="0" applyNumberFormat="1" applyFont="1" applyAlignment="1">
      <alignment vertical="center" wrapText="1"/>
    </xf>
    <xf numFmtId="49" fontId="0"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 fillId="0" borderId="0" xfId="0" applyNumberFormat="1" applyFont="1" applyAlignment="1">
      <alignment vertical="top" wrapText="1"/>
    </xf>
    <xf numFmtId="49" fontId="2" fillId="0" borderId="0" xfId="0" applyNumberFormat="1" applyFont="1">
      <alignment vertical="top"/>
    </xf>
    <xf numFmtId="49" fontId="2" fillId="0" borderId="0" xfId="0" applyNumberFormat="1" applyFont="1">
      <alignment vertical="top"/>
    </xf>
    <xf numFmtId="49" fontId="2" fillId="0" borderId="3"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0" fontId="2" fillId="11" borderId="27" xfId="0" applyNumberFormat="1" applyFont="1" applyFill="1" applyBorder="1" applyAlignment="1">
      <alignment horizontal="center" vertical="top" wrapText="1"/>
    </xf>
    <xf numFmtId="49" fontId="2" fillId="0" borderId="10" xfId="0" applyNumberFormat="1" applyFont="1" applyBorder="1" applyAlignment="1">
      <alignment horizontal="left" vertical="center" wrapText="1"/>
    </xf>
    <xf numFmtId="49" fontId="2" fillId="0" borderId="0" xfId="0" applyNumberFormat="1" applyFont="1" applyAlignment="1">
      <alignment horizontal="center" vertical="center" wrapText="1"/>
    </xf>
    <xf numFmtId="49" fontId="2" fillId="11" borderId="27" xfId="0" applyNumberFormat="1" applyFont="1" applyFill="1" applyBorder="1" applyAlignment="1">
      <alignment horizontal="center" vertical="center" wrapText="1"/>
    </xf>
    <xf numFmtId="0" fontId="12" fillId="0" borderId="0" xfId="0" applyNumberFormat="1" applyFont="1" applyAlignment="1">
      <alignment horizontal="left"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2"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17" fillId="0" borderId="3" xfId="0" applyNumberFormat="1" applyFont="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19" fillId="0" borderId="0" xfId="0" applyNumberFormat="1" applyFont="1" applyAlignment="1">
      <alignment horizontal="center" vertical="top"/>
    </xf>
    <xf numFmtId="49" fontId="2" fillId="0" borderId="27" xfId="0" applyNumberFormat="1" applyFont="1" applyBorder="1" applyAlignment="1">
      <alignment horizontal="center" vertical="top" wrapText="1"/>
    </xf>
    <xf numFmtId="0" fontId="2" fillId="0" borderId="3" xfId="0" applyNumberFormat="1" applyFont="1" applyBorder="1" applyAlignment="1">
      <alignment horizontal="left" vertical="center" wrapText="1"/>
    </xf>
    <xf numFmtId="0" fontId="7" fillId="0" borderId="3" xfId="0" applyNumberFormat="1" applyFont="1" applyBorder="1" applyAlignment="1">
      <alignment horizontal="center" vertical="center" wrapText="1"/>
    </xf>
    <xf numFmtId="49" fontId="12" fillId="8" borderId="42" xfId="0" applyNumberFormat="1" applyFont="1" applyFill="1" applyBorder="1" applyAlignment="1">
      <alignment horizontal="left" vertical="center" indent="1"/>
    </xf>
    <xf numFmtId="49" fontId="2" fillId="7" borderId="3" xfId="0" applyNumberFormat="1" applyFont="1" applyFill="1" applyBorder="1" applyAlignment="1" applyProtection="1">
      <alignment horizontal="left" vertical="center" wrapText="1"/>
      <protection locked="0"/>
    </xf>
    <xf numFmtId="49" fontId="20" fillId="0" borderId="3" xfId="0" applyNumberFormat="1" applyFont="1" applyBorder="1" applyAlignment="1">
      <alignment horizontal="center" vertical="center" wrapText="1"/>
    </xf>
    <xf numFmtId="167"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2" fillId="0" borderId="27" xfId="0" applyNumberFormat="1" applyFont="1" applyBorder="1" applyAlignment="1">
      <alignment horizontal="center" vertical="center" wrapText="1"/>
    </xf>
    <xf numFmtId="0" fontId="2" fillId="6" borderId="5" xfId="0" applyNumberFormat="1" applyFont="1" applyFill="1" applyBorder="1" applyAlignment="1">
      <alignment horizontal="center" vertical="center" wrapText="1"/>
    </xf>
    <xf numFmtId="49" fontId="0"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2" fillId="11" borderId="5" xfId="0" applyNumberFormat="1" applyFont="1" applyFill="1" applyBorder="1" applyAlignment="1">
      <alignment horizontal="left" vertical="center" wrapText="1"/>
    </xf>
    <xf numFmtId="0" fontId="2" fillId="0" borderId="14" xfId="0" applyNumberFormat="1" applyFont="1" applyBorder="1" applyAlignment="1">
      <alignment horizontal="center" vertical="center" wrapText="1"/>
    </xf>
    <xf numFmtId="0" fontId="17" fillId="0" borderId="4" xfId="0" applyNumberFormat="1" applyFont="1" applyBorder="1" applyAlignment="1">
      <alignment horizontal="center" vertical="center"/>
    </xf>
    <xf numFmtId="49" fontId="0" fillId="9" borderId="0" xfId="0" applyNumberFormat="1" applyFont="1" applyFill="1">
      <alignment vertical="top"/>
    </xf>
    <xf numFmtId="0" fontId="8" fillId="6" borderId="0" xfId="0" applyNumberFormat="1" applyFont="1" applyFill="1" applyAlignment="1">
      <alignment horizontal="center" vertical="center" wrapText="1"/>
    </xf>
    <xf numFmtId="0" fontId="8" fillId="6" borderId="0" xfId="0" applyNumberFormat="1" applyFont="1" applyFill="1" applyAlignment="1">
      <alignment horizontal="center"/>
    </xf>
    <xf numFmtId="0" fontId="8" fillId="0" borderId="0" xfId="0" applyNumberFormat="1" applyFont="1" applyAlignment="1">
      <alignment horizontal="center" vertical="center" wrapText="1"/>
    </xf>
    <xf numFmtId="49" fontId="0" fillId="0" borderId="3" xfId="0" applyNumberFormat="1" applyFont="1" applyBorder="1">
      <alignment vertical="top"/>
    </xf>
    <xf numFmtId="49" fontId="0" fillId="0" borderId="3" xfId="0" applyNumberFormat="1" applyFont="1" applyBorder="1">
      <alignment vertical="top"/>
    </xf>
    <xf numFmtId="49" fontId="2" fillId="0" borderId="0" xfId="0" applyNumberFormat="1" applyFont="1">
      <alignment vertical="top"/>
    </xf>
    <xf numFmtId="0" fontId="8" fillId="6" borderId="0" xfId="0" applyNumberFormat="1" applyFont="1" applyFill="1" applyAlignment="1">
      <alignment vertical="top" wrapText="1"/>
    </xf>
    <xf numFmtId="49" fontId="96" fillId="10" borderId="3" xfId="0" applyNumberFormat="1" applyFont="1" applyFill="1" applyBorder="1" applyAlignment="1" applyProtection="1">
      <alignment horizontal="left" vertical="center" wrapText="1"/>
      <protection locked="0"/>
    </xf>
    <xf numFmtId="49" fontId="8" fillId="0" borderId="0" xfId="0" applyNumberFormat="1" applyFont="1" applyAlignment="1">
      <alignment horizontal="center" vertical="center" wrapText="1"/>
    </xf>
    <xf numFmtId="0" fontId="8" fillId="0" borderId="15" xfId="0" applyNumberFormat="1" applyFont="1" applyBorder="1" applyAlignment="1">
      <alignment horizontal="center" vertical="center" wrapText="1"/>
    </xf>
    <xf numFmtId="49" fontId="97" fillId="0" borderId="0" xfId="0" applyNumberFormat="1" applyFont="1" applyAlignment="1">
      <alignment horizontal="center" vertical="top" wrapText="1"/>
    </xf>
    <xf numFmtId="49" fontId="0" fillId="5" borderId="27" xfId="0" applyNumberFormat="1" applyFont="1" applyFill="1" applyBorder="1">
      <alignment vertical="top"/>
    </xf>
    <xf numFmtId="49" fontId="0" fillId="0" borderId="27" xfId="0" applyNumberFormat="1" applyFont="1" applyBorder="1">
      <alignment vertical="top"/>
    </xf>
    <xf numFmtId="49" fontId="0" fillId="10" borderId="27" xfId="0" applyNumberFormat="1" applyFont="1" applyFill="1" applyBorder="1" applyProtection="1">
      <alignment vertical="top"/>
      <protection locked="0"/>
    </xf>
    <xf numFmtId="49" fontId="0" fillId="10" borderId="8" xfId="0" applyNumberFormat="1" applyFont="1" applyFill="1" applyBorder="1" applyProtection="1">
      <alignment vertical="top"/>
      <protection locked="0"/>
    </xf>
    <xf numFmtId="49" fontId="0" fillId="10" borderId="14" xfId="0" applyNumberFormat="1" applyFont="1" applyFill="1" applyBorder="1" applyProtection="1">
      <alignment vertical="top"/>
      <protection locked="0"/>
    </xf>
    <xf numFmtId="49" fontId="97"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8" fillId="0" borderId="0" xfId="0" applyNumberFormat="1" applyFont="1" applyAlignment="1">
      <alignment horizontal="center" vertical="center" wrapText="1"/>
    </xf>
    <xf numFmtId="49" fontId="0" fillId="10"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8"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1" borderId="27" xfId="0" applyNumberFormat="1" applyFont="1" applyFill="1" applyBorder="1" applyAlignment="1">
      <alignment horizontal="left" vertical="top"/>
    </xf>
    <xf numFmtId="49" fontId="0" fillId="7" borderId="27" xfId="0" applyNumberFormat="1" applyFont="1" applyFill="1" applyBorder="1" applyAlignment="1" applyProtection="1">
      <alignment horizontal="left" vertical="top"/>
      <protection locked="0"/>
    </xf>
    <xf numFmtId="49" fontId="0" fillId="11" borderId="27" xfId="0" applyNumberFormat="1" applyFont="1" applyFill="1" applyBorder="1" applyAlignment="1" applyProtection="1">
      <alignment horizontal="left" vertical="center" wrapText="1"/>
      <protection locked="0"/>
    </xf>
    <xf numFmtId="49" fontId="0" fillId="0" borderId="0" xfId="0" applyNumberFormat="1" applyFont="1">
      <alignment vertical="top"/>
    </xf>
    <xf numFmtId="49" fontId="0" fillId="7"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8" fillId="0" borderId="27" xfId="0" applyNumberFormat="1" applyFont="1" applyBorder="1" applyAlignment="1">
      <alignment vertical="center" wrapText="1"/>
    </xf>
    <xf numFmtId="49" fontId="8" fillId="0" borderId="27" xfId="0" applyNumberFormat="1" applyFont="1" applyBorder="1" applyAlignment="1">
      <alignment horizontal="center" vertical="center" wrapText="1"/>
    </xf>
    <xf numFmtId="49" fontId="8" fillId="0" borderId="10" xfId="0" applyNumberFormat="1" applyFont="1" applyBorder="1" applyAlignment="1">
      <alignment vertical="center" wrapText="1"/>
    </xf>
    <xf numFmtId="49" fontId="8" fillId="0" borderId="0" xfId="0" applyNumberFormat="1" applyFont="1" applyAlignment="1">
      <alignment vertical="center" wrapText="1"/>
    </xf>
    <xf numFmtId="49" fontId="8" fillId="0" borderId="0" xfId="0" applyNumberFormat="1" applyFont="1" applyAlignment="1">
      <alignment horizontal="center" vertical="center" wrapText="1"/>
    </xf>
    <xf numFmtId="0" fontId="2" fillId="10" borderId="3" xfId="0" applyNumberFormat="1" applyFont="1" applyFill="1" applyBorder="1" applyAlignment="1" applyProtection="1">
      <alignment horizontal="left" vertical="center" wrapText="1"/>
      <protection locked="0"/>
    </xf>
    <xf numFmtId="0" fontId="2" fillId="6" borderId="14" xfId="0" applyNumberFormat="1" applyFont="1" applyFill="1" applyBorder="1" applyAlignment="1">
      <alignment horizontal="center" vertical="center" wrapText="1"/>
    </xf>
    <xf numFmtId="0" fontId="2"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0"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xf>
    <xf numFmtId="49" fontId="0" fillId="6"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2" fillId="11"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17" fillId="25" borderId="0" xfId="0" applyNumberFormat="1" applyFont="1" applyFill="1" applyAlignment="1">
      <alignment vertical="center" wrapText="1"/>
    </xf>
    <xf numFmtId="0" fontId="19" fillId="0" borderId="0" xfId="0" applyNumberFormat="1" applyFont="1" applyAlignment="1">
      <alignment vertical="top" wrapText="1"/>
    </xf>
    <xf numFmtId="49" fontId="3" fillId="0" borderId="0" xfId="0" applyNumberFormat="1" applyFont="1" applyAlignment="1">
      <alignment horizontal="center" vertical="top" wrapText="1"/>
    </xf>
    <xf numFmtId="49" fontId="2" fillId="6"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19" fillId="0" borderId="3" xfId="0" applyNumberFormat="1" applyFont="1" applyBorder="1" applyAlignment="1">
      <alignment horizontal="center" vertical="center" wrapText="1"/>
    </xf>
    <xf numFmtId="49" fontId="2" fillId="5"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2" fillId="11" borderId="3" xfId="0" applyNumberFormat="1" applyFont="1" applyFill="1" applyBorder="1" applyAlignment="1">
      <alignment horizontal="left" vertical="center" wrapText="1" indent="1"/>
    </xf>
    <xf numFmtId="0" fontId="10" fillId="0" borderId="0" xfId="0" applyNumberFormat="1" applyFont="1" applyAlignment="1"/>
    <xf numFmtId="0" fontId="36" fillId="0" borderId="0" xfId="0" applyNumberFormat="1" applyFont="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3" fillId="0" borderId="0" xfId="0" applyNumberFormat="1" applyFont="1" applyAlignment="1">
      <alignment horizontal="left" vertical="center" wrapText="1"/>
    </xf>
    <xf numFmtId="49" fontId="0" fillId="0" borderId="0" xfId="0" applyNumberFormat="1" applyFont="1">
      <alignment vertical="top"/>
    </xf>
    <xf numFmtId="0" fontId="33" fillId="0" borderId="0" xfId="0" applyNumberFormat="1" applyFont="1" applyAlignment="1">
      <alignment vertical="center" wrapText="1"/>
    </xf>
    <xf numFmtId="0" fontId="65" fillId="0" borderId="0" xfId="0" applyNumberFormat="1" applyFont="1" applyAlignment="1">
      <alignment horizontal="left" vertical="center" wrapText="1"/>
    </xf>
    <xf numFmtId="0" fontId="2" fillId="0" borderId="0" xfId="0" applyNumberFormat="1" applyFont="1" applyAlignment="1">
      <alignment horizontal="center"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33" fillId="0" borderId="0" xfId="0" applyNumberFormat="1" applyFont="1" applyAlignment="1">
      <alignment vertical="center" wrapText="1"/>
    </xf>
    <xf numFmtId="49" fontId="2" fillId="7" borderId="3" xfId="0" applyNumberFormat="1" applyFont="1" applyFill="1" applyBorder="1" applyAlignment="1" applyProtection="1">
      <alignment horizontal="left" vertical="center" wrapText="1" indent="1"/>
      <protection locked="0"/>
    </xf>
    <xf numFmtId="0" fontId="2" fillId="0" borderId="0" xfId="0" applyNumberFormat="1" applyFont="1" applyAlignment="1">
      <alignment vertical="center" wrapText="1"/>
    </xf>
    <xf numFmtId="0" fontId="4" fillId="0" borderId="0" xfId="0" applyNumberFormat="1" applyFont="1" applyAlignment="1">
      <alignment vertical="center" wrapText="1"/>
    </xf>
    <xf numFmtId="0" fontId="2" fillId="0" borderId="0" xfId="0" applyNumberFormat="1" applyFont="1" applyAlignment="1">
      <alignment vertical="center" wrapText="1"/>
    </xf>
    <xf numFmtId="0" fontId="20" fillId="0" borderId="0" xfId="0" applyNumberFormat="1" applyFont="1" applyAlignment="1">
      <alignment vertical="center" wrapText="1"/>
    </xf>
    <xf numFmtId="0" fontId="46" fillId="0" borderId="0" xfId="0" applyNumberFormat="1" applyFont="1" applyAlignment="1">
      <alignment vertical="center" wrapText="1"/>
    </xf>
    <xf numFmtId="0" fontId="20" fillId="0" borderId="0" xfId="0" applyNumberFormat="1" applyFont="1" applyAlignment="1">
      <alignment vertical="center" wrapText="1"/>
    </xf>
    <xf numFmtId="0" fontId="29" fillId="0" borderId="0" xfId="0" applyNumberFormat="1" applyFont="1" applyAlignment="1">
      <alignment vertical="center" wrapText="1"/>
    </xf>
    <xf numFmtId="0" fontId="14" fillId="0" borderId="0" xfId="0" applyNumberFormat="1" applyFont="1" applyAlignment="1">
      <alignment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0" fillId="0" borderId="0" xfId="0" applyNumberFormat="1" applyFont="1" applyAlignment="1">
      <alignment vertical="center"/>
    </xf>
    <xf numFmtId="0" fontId="20" fillId="0" borderId="0" xfId="0" applyNumberFormat="1" applyFont="1" applyAlignment="1">
      <alignment vertical="center"/>
    </xf>
    <xf numFmtId="0" fontId="28" fillId="0" borderId="0" xfId="0" applyNumberFormat="1" applyFont="1" applyAlignment="1">
      <alignment vertical="center"/>
    </xf>
    <xf numFmtId="0" fontId="14" fillId="0" borderId="0" xfId="0" applyNumberFormat="1" applyFont="1" applyAlignment="1">
      <alignment vertical="center" wrapText="1"/>
    </xf>
    <xf numFmtId="0" fontId="20" fillId="0" borderId="0" xfId="0" applyNumberFormat="1" applyFont="1" applyAlignment="1">
      <alignment vertical="center"/>
    </xf>
    <xf numFmtId="49" fontId="0" fillId="0" borderId="0" xfId="0" applyNumberFormat="1" applyFont="1">
      <alignment vertical="top"/>
    </xf>
    <xf numFmtId="49" fontId="20" fillId="0" borderId="0" xfId="0" applyNumberFormat="1" applyFont="1">
      <alignment vertical="top"/>
    </xf>
    <xf numFmtId="0" fontId="8" fillId="0" borderId="0" xfId="0" applyNumberFormat="1" applyFont="1" applyAlignment="1">
      <alignment horizontal="center" vertical="center" wrapText="1"/>
    </xf>
    <xf numFmtId="0" fontId="2" fillId="0" borderId="0" xfId="0" applyNumberFormat="1" applyFont="1" applyAlignment="1">
      <alignment vertical="center" wrapText="1"/>
    </xf>
    <xf numFmtId="0" fontId="17" fillId="0" borderId="0" xfId="0" applyNumberFormat="1" applyFont="1" applyAlignment="1">
      <alignment vertical="center" wrapText="1"/>
    </xf>
    <xf numFmtId="0" fontId="19" fillId="0" borderId="0" xfId="0" applyNumberFormat="1" applyFont="1" applyAlignment="1">
      <alignment vertical="center"/>
    </xf>
    <xf numFmtId="0" fontId="13" fillId="0" borderId="0" xfId="0" applyNumberFormat="1" applyFont="1" applyAlignment="1">
      <alignment vertical="center"/>
    </xf>
    <xf numFmtId="0" fontId="13" fillId="0" borderId="0" xfId="0" applyNumberFormat="1" applyFont="1" applyAlignment="1">
      <alignment vertical="center"/>
    </xf>
    <xf numFmtId="0" fontId="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49" fontId="0" fillId="0" borderId="0" xfId="0" applyNumberFormat="1" applyFont="1">
      <alignment vertical="top"/>
    </xf>
    <xf numFmtId="0" fontId="0" fillId="0" borderId="0" xfId="0" applyNumberFormat="1" applyFont="1" applyAlignment="1">
      <alignment vertical="center"/>
    </xf>
    <xf numFmtId="0" fontId="2" fillId="0" borderId="0" xfId="0" applyNumberFormat="1" applyFont="1" applyAlignment="1">
      <alignment vertical="center"/>
    </xf>
    <xf numFmtId="0" fontId="13" fillId="0" borderId="0" xfId="0" applyNumberFormat="1" applyFont="1" applyAlignment="1">
      <alignment vertical="center"/>
    </xf>
    <xf numFmtId="0" fontId="40" fillId="0" borderId="0" xfId="0" applyNumberFormat="1" applyFont="1" applyAlignment="1">
      <alignment vertical="center"/>
    </xf>
    <xf numFmtId="0" fontId="2"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49" fontId="20" fillId="0" borderId="0" xfId="0" applyNumberFormat="1" applyFont="1" applyAlignment="1">
      <alignment horizontal="center" vertical="center"/>
    </xf>
    <xf numFmtId="49" fontId="40" fillId="0" borderId="0" xfId="0" applyNumberFormat="1" applyFont="1">
      <alignment vertical="top"/>
    </xf>
    <xf numFmtId="49" fontId="3" fillId="0" borderId="0" xfId="0" applyNumberFormat="1" applyFont="1">
      <alignment vertical="top"/>
    </xf>
    <xf numFmtId="0" fontId="3" fillId="0" borderId="0" xfId="0" applyNumberFormat="1" applyFont="1" applyAlignment="1">
      <alignment vertical="center" wrapText="1"/>
    </xf>
    <xf numFmtId="0" fontId="2" fillId="0" borderId="0" xfId="0" applyNumberFormat="1" applyFont="1" applyAlignment="1">
      <alignment vertical="center" wrapText="1"/>
    </xf>
    <xf numFmtId="0" fontId="14"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vertical="center" wrapText="1"/>
    </xf>
    <xf numFmtId="0" fontId="2" fillId="6" borderId="0" xfId="0" applyNumberFormat="1" applyFont="1" applyFill="1" applyAlignment="1"/>
    <xf numFmtId="0" fontId="34" fillId="6" borderId="0" xfId="0" applyNumberFormat="1" applyFont="1" applyFill="1" applyAlignment="1"/>
    <xf numFmtId="0" fontId="20" fillId="6" borderId="0" xfId="0" applyNumberFormat="1" applyFont="1" applyFill="1" applyAlignment="1"/>
    <xf numFmtId="0" fontId="49" fillId="6" borderId="0" xfId="0" applyNumberFormat="1" applyFont="1" applyFill="1" applyAlignment="1"/>
    <xf numFmtId="0" fontId="0" fillId="6" borderId="0" xfId="0" applyNumberFormat="1" applyFont="1" applyFill="1" applyAlignment="1"/>
    <xf numFmtId="0" fontId="0" fillId="6" borderId="0" xfId="0" applyNumberFormat="1" applyFont="1" applyFill="1" applyAlignment="1">
      <alignment horizontal="center"/>
    </xf>
    <xf numFmtId="0" fontId="61" fillId="0" borderId="0" xfId="0" applyNumberFormat="1" applyFont="1" applyAlignment="1">
      <alignment vertical="center" wrapText="1"/>
    </xf>
    <xf numFmtId="0" fontId="3" fillId="0" borderId="0" xfId="0" applyNumberFormat="1" applyFont="1" applyAlignment="1">
      <alignment vertical="center" wrapText="1"/>
    </xf>
    <xf numFmtId="0" fontId="33" fillId="0" borderId="0" xfId="0" applyNumberFormat="1" applyFont="1" applyAlignment="1">
      <alignment vertical="center" wrapText="1"/>
    </xf>
    <xf numFmtId="0" fontId="20" fillId="0" borderId="0" xfId="0" applyNumberFormat="1" applyFon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0" xfId="0" applyNumberFormat="1" applyFont="1" applyAlignment="1">
      <alignment vertical="center" wrapText="1"/>
    </xf>
    <xf numFmtId="0" fontId="14" fillId="0" borderId="0" xfId="0" applyNumberFormat="1" applyFont="1" applyAlignment="1">
      <alignment vertical="center" wrapText="1"/>
    </xf>
    <xf numFmtId="0" fontId="2" fillId="0" borderId="0" xfId="0" applyNumberFormat="1" applyFont="1" applyAlignment="1">
      <alignment vertical="center" wrapText="1"/>
    </xf>
    <xf numFmtId="0" fontId="61" fillId="0" borderId="0" xfId="0" applyNumberFormat="1" applyFont="1" applyAlignment="1">
      <alignment vertical="center" wrapText="1"/>
    </xf>
    <xf numFmtId="0" fontId="20" fillId="0" borderId="0" xfId="0" applyNumberFormat="1" applyFont="1" applyAlignment="1">
      <alignment vertical="center" wrapText="1"/>
    </xf>
    <xf numFmtId="0" fontId="33" fillId="0" borderId="0" xfId="0" applyNumberFormat="1" applyFon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20" fillId="0" borderId="0" xfId="0" applyNumberFormat="1" applyFont="1" applyAlignment="1">
      <alignment vertical="center" wrapText="1"/>
    </xf>
    <xf numFmtId="0" fontId="19" fillId="0" borderId="0" xfId="0" applyNumberFormat="1" applyFont="1" applyAlignment="1">
      <alignment vertical="center" wrapText="1"/>
    </xf>
    <xf numFmtId="0" fontId="19" fillId="0" borderId="0" xfId="0" applyNumberFormat="1" applyFont="1" applyAlignment="1">
      <alignment horizontal="center" vertical="center" wrapText="1"/>
    </xf>
    <xf numFmtId="49" fontId="19" fillId="0" borderId="0" xfId="0" applyNumberFormat="1" applyFont="1" applyAlignment="1">
      <alignment vertical="center" wrapText="1"/>
    </xf>
    <xf numFmtId="0" fontId="42" fillId="0" borderId="0" xfId="0" applyNumberFormat="1" applyFont="1" applyAlignment="1">
      <alignment vertical="center" wrapText="1"/>
    </xf>
    <xf numFmtId="0" fontId="19" fillId="0" borderId="0" xfId="0" applyNumberFormat="1" applyFont="1" applyAlignment="1">
      <alignment horizontal="left" vertical="center" wrapText="1"/>
    </xf>
    <xf numFmtId="0" fontId="0" fillId="0" borderId="0" xfId="0" applyNumberFormat="1" applyFont="1" applyAlignment="1">
      <alignment vertical="center"/>
    </xf>
    <xf numFmtId="49" fontId="2" fillId="0" borderId="0" xfId="0" applyNumberFormat="1" applyFont="1" applyAlignment="1">
      <alignment vertical="center" wrapText="1"/>
    </xf>
    <xf numFmtId="49" fontId="2" fillId="0" borderId="0" xfId="0" applyNumberFormat="1" applyFont="1" applyAlignment="1">
      <alignment vertical="center" wrapText="1"/>
    </xf>
    <xf numFmtId="0" fontId="11"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0" xfId="0" applyNumberFormat="1" applyFont="1" applyAlignment="1">
      <alignment vertical="center"/>
    </xf>
    <xf numFmtId="49" fontId="20" fillId="0" borderId="0" xfId="0" applyNumberFormat="1" applyFont="1" applyAlignment="1">
      <alignment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left" vertical="center"/>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20" fillId="0" borderId="0" xfId="0" applyNumberFormat="1" applyFont="1" applyAlignment="1">
      <alignment vertical="center" wrapText="1"/>
    </xf>
    <xf numFmtId="49" fontId="2" fillId="10" borderId="3" xfId="0" applyNumberFormat="1" applyFont="1" applyFill="1" applyBorder="1" applyAlignment="1" applyProtection="1">
      <alignment horizontal="center" vertical="center" wrapText="1"/>
      <protection locked="0"/>
    </xf>
    <xf numFmtId="49" fontId="65" fillId="0" borderId="0" xfId="0" applyNumberFormat="1" applyFont="1" applyAlignment="1">
      <alignment horizontal="center" vertical="center" wrapText="1"/>
    </xf>
    <xf numFmtId="0" fontId="27" fillId="0" borderId="0" xfId="0" applyNumberFormat="1" applyFont="1" applyAlignment="1">
      <alignment vertical="center" wrapText="1"/>
    </xf>
    <xf numFmtId="0" fontId="46" fillId="0" borderId="0" xfId="0" applyNumberFormat="1" applyFont="1" applyAlignment="1">
      <alignment vertical="center" wrapText="1"/>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top" wrapText="1"/>
    </xf>
    <xf numFmtId="0" fontId="2" fillId="0" borderId="0" xfId="0" applyNumberFormat="1" applyFont="1" applyAlignment="1">
      <alignment vertical="center" wrapText="1"/>
    </xf>
    <xf numFmtId="49" fontId="3" fillId="0" borderId="0" xfId="0" applyNumberFormat="1" applyFont="1" applyAlignment="1">
      <alignment horizontal="center"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49" fontId="0" fillId="0" borderId="0" xfId="0" applyNumberFormat="1" applyFont="1">
      <alignment vertical="top"/>
    </xf>
    <xf numFmtId="49" fontId="19" fillId="0" borderId="0" xfId="0" applyNumberFormat="1" applyFont="1" applyAlignment="1">
      <alignment horizontal="center" vertical="center" wrapText="1"/>
    </xf>
    <xf numFmtId="0" fontId="56" fillId="0" borderId="0" xfId="0" applyNumberFormat="1" applyFont="1" applyAlignment="1">
      <alignment vertical="center" wrapText="1"/>
    </xf>
    <xf numFmtId="0" fontId="7"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9" fontId="17" fillId="0" borderId="0" xfId="0" applyNumberFormat="1" applyFont="1" applyAlignment="1">
      <alignment vertical="center"/>
    </xf>
    <xf numFmtId="49" fontId="17" fillId="0" borderId="0" xfId="0" applyNumberFormat="1" applyFont="1" applyAlignment="1">
      <alignment vertical="center"/>
    </xf>
    <xf numFmtId="49" fontId="2" fillId="0" borderId="0" xfId="0" applyNumberFormat="1" applyFont="1" applyAlignment="1">
      <alignment horizontal="center" vertical="top" wrapText="1"/>
    </xf>
    <xf numFmtId="49" fontId="2"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0" xfId="0" applyNumberFormat="1" applyFont="1" applyAlignment="1">
      <alignment vertical="center" wrapText="1"/>
    </xf>
    <xf numFmtId="49" fontId="17" fillId="0" borderId="0" xfId="0" applyNumberFormat="1" applyFont="1" applyAlignment="1">
      <alignment vertical="center" wrapText="1"/>
    </xf>
    <xf numFmtId="49" fontId="73" fillId="0" borderId="0" xfId="0" applyNumberFormat="1" applyFont="1" applyAlignment="1">
      <alignment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20" fillId="0" borderId="0" xfId="0" applyNumberFormat="1" applyFont="1" applyAlignment="1">
      <alignment vertical="center"/>
    </xf>
    <xf numFmtId="49" fontId="2" fillId="0" borderId="0" xfId="0" applyNumberFormat="1" applyFont="1" applyAlignment="1">
      <alignment vertical="center" wrapText="1"/>
    </xf>
    <xf numFmtId="0" fontId="11" fillId="0" borderId="0" xfId="0" applyNumberFormat="1" applyFont="1" applyAlignment="1">
      <alignment vertical="center" wrapText="1"/>
    </xf>
    <xf numFmtId="49" fontId="2" fillId="0" borderId="0" xfId="0" applyNumberFormat="1" applyFont="1">
      <alignment vertical="top"/>
    </xf>
    <xf numFmtId="49" fontId="2" fillId="0" borderId="0" xfId="0" applyNumberFormat="1" applyFont="1" applyAlignment="1">
      <alignment vertical="top" wrapText="1"/>
    </xf>
    <xf numFmtId="0" fontId="2" fillId="0" borderId="0" xfId="0" applyNumberFormat="1" applyFont="1" applyAlignment="1">
      <alignment vertical="center" wrapText="1"/>
    </xf>
    <xf numFmtId="49" fontId="2" fillId="0" borderId="0" xfId="0" applyNumberFormat="1" applyFont="1" applyAlignment="1">
      <alignment vertical="center" wrapText="1"/>
    </xf>
    <xf numFmtId="49" fontId="3" fillId="0" borderId="0" xfId="0" applyNumberFormat="1" applyFont="1">
      <alignment vertical="top"/>
    </xf>
    <xf numFmtId="49" fontId="2" fillId="0" borderId="0" xfId="0" applyNumberFormat="1" applyFont="1">
      <alignment vertical="top"/>
    </xf>
    <xf numFmtId="49" fontId="8" fillId="0" borderId="0" xfId="0" applyNumberFormat="1" applyFont="1" applyAlignment="1">
      <alignment horizontal="center" vertical="center"/>
    </xf>
    <xf numFmtId="49" fontId="2" fillId="0" borderId="0" xfId="0" applyNumberFormat="1" applyFont="1">
      <alignment vertical="top"/>
    </xf>
    <xf numFmtId="49" fontId="2" fillId="0" borderId="0" xfId="0" applyNumberFormat="1" applyFont="1">
      <alignment vertical="top"/>
    </xf>
    <xf numFmtId="49" fontId="2" fillId="0" borderId="0" xfId="0" applyNumberFormat="1" applyFont="1">
      <alignment vertical="top"/>
    </xf>
    <xf numFmtId="0" fontId="2" fillId="0" borderId="0" xfId="0" applyNumberFormat="1" applyFont="1" applyAlignment="1"/>
    <xf numFmtId="0" fontId="8" fillId="0" borderId="0" xfId="0" applyNumberFormat="1" applyFont="1" applyAlignment="1">
      <alignment horizontal="center" vertical="center"/>
    </xf>
    <xf numFmtId="0" fontId="40" fillId="6" borderId="0" xfId="0" applyNumberFormat="1" applyFont="1" applyFill="1" applyAlignment="1"/>
    <xf numFmtId="49" fontId="0" fillId="0" borderId="0" xfId="0" applyNumberFormat="1" applyFont="1">
      <alignment vertical="top"/>
    </xf>
    <xf numFmtId="0" fontId="14" fillId="0" borderId="0" xfId="0" applyNumberFormat="1" applyFont="1" applyAlignment="1">
      <alignment horizontal="center" vertical="center" wrapText="1"/>
    </xf>
    <xf numFmtId="49" fontId="0" fillId="0" borderId="0" xfId="0" applyNumberFormat="1" applyFont="1">
      <alignment vertical="top"/>
    </xf>
    <xf numFmtId="49" fontId="0" fillId="9" borderId="0" xfId="0" applyNumberFormat="1" applyFont="1" applyFill="1">
      <alignment vertical="top"/>
    </xf>
    <xf numFmtId="0" fontId="14" fillId="0" borderId="0" xfId="0" applyNumberFormat="1" applyFont="1" applyAlignment="1">
      <alignment vertical="center" wrapText="1"/>
    </xf>
    <xf numFmtId="0" fontId="0" fillId="0" borderId="0" xfId="0" applyNumberFormat="1" applyFont="1" applyAlignment="1">
      <alignment vertical="center"/>
    </xf>
    <xf numFmtId="49" fontId="2" fillId="5" borderId="3" xfId="0" applyNumberFormat="1" applyFont="1" applyFill="1" applyBorder="1" applyAlignment="1">
      <alignment horizontal="center" vertical="center" wrapText="1"/>
    </xf>
    <xf numFmtId="0" fontId="0" fillId="0" borderId="0" xfId="0" applyNumberFormat="1" applyFont="1" applyAlignment="1">
      <alignment vertical="center"/>
    </xf>
    <xf numFmtId="49" fontId="2" fillId="0" borderId="0" xfId="0" applyNumberFormat="1" applyFont="1" applyAlignment="1">
      <alignment horizontal="center" vertical="top"/>
    </xf>
    <xf numFmtId="49" fontId="0" fillId="0" borderId="0" xfId="0" applyNumberFormat="1" applyFont="1" applyAlignment="1">
      <alignment vertical="center"/>
    </xf>
    <xf numFmtId="49" fontId="2" fillId="0" borderId="0" xfId="0" applyNumberFormat="1" applyFont="1">
      <alignment vertical="top"/>
    </xf>
    <xf numFmtId="49" fontId="2" fillId="0" borderId="0" xfId="0" applyNumberFormat="1" applyFont="1">
      <alignment vertical="top"/>
    </xf>
    <xf numFmtId="49" fontId="2" fillId="0" borderId="0" xfId="0" applyNumberFormat="1" applyFont="1" applyAlignment="1">
      <alignment vertical="center"/>
    </xf>
    <xf numFmtId="49" fontId="0" fillId="0" borderId="0" xfId="0" applyNumberFormat="1" applyFont="1">
      <alignment vertical="top"/>
    </xf>
    <xf numFmtId="49" fontId="2" fillId="0" borderId="0" xfId="0" applyNumberFormat="1" applyFont="1">
      <alignment vertical="top"/>
    </xf>
    <xf numFmtId="49" fontId="0" fillId="0" borderId="0" xfId="0" applyNumberFormat="1" applyFont="1" applyAlignment="1">
      <alignment vertical="center" wrapText="1"/>
    </xf>
    <xf numFmtId="49" fontId="69" fillId="0" borderId="0" xfId="0" applyNumberFormat="1" applyFont="1" applyAlignment="1">
      <alignment vertical="top" wrapText="1"/>
    </xf>
    <xf numFmtId="49" fontId="69" fillId="0" borderId="0" xfId="0" applyNumberFormat="1" applyFont="1">
      <alignment vertical="top"/>
    </xf>
    <xf numFmtId="49" fontId="69" fillId="0" borderId="0" xfId="0" applyNumberFormat="1" applyFont="1" applyAlignment="1">
      <alignment horizontal="center" vertical="top" wrapText="1"/>
    </xf>
    <xf numFmtId="49" fontId="69" fillId="0" borderId="0" xfId="0" applyNumberFormat="1" applyFont="1" applyAlignment="1">
      <alignment horizontal="left" vertical="top" wrapText="1"/>
    </xf>
    <xf numFmtId="49" fontId="69" fillId="12" borderId="0" xfId="0" applyNumberFormat="1" applyFont="1" applyFill="1" applyAlignment="1">
      <alignment horizontal="left" vertical="top" wrapText="1"/>
    </xf>
    <xf numFmtId="0" fontId="69" fillId="0" borderId="0" xfId="0" applyNumberFormat="1" applyFont="1" applyAlignment="1">
      <alignment vertical="top" wrapText="1"/>
    </xf>
    <xf numFmtId="49" fontId="2" fillId="0" borderId="0" xfId="0" applyNumberFormat="1" applyFont="1" applyAlignment="1">
      <alignment vertical="center" wrapText="1"/>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0" fontId="0" fillId="0" borderId="0" xfId="0" applyNumberFormat="1" applyFont="1">
      <alignment vertical="top"/>
    </xf>
    <xf numFmtId="0" fontId="0" fillId="0" borderId="0" xfId="0" applyNumberFormat="1" applyFont="1">
      <alignment vertical="top"/>
    </xf>
    <xf numFmtId="49" fontId="0" fillId="6" borderId="0" xfId="0" applyNumberFormat="1" applyFont="1" applyFill="1">
      <alignment vertical="top"/>
    </xf>
    <xf numFmtId="0" fontId="1" fillId="0" borderId="0" xfId="0" applyNumberFormat="1" applyFont="1" applyAlignment="1"/>
    <xf numFmtId="0" fontId="10" fillId="0" borderId="0" xfId="0" applyNumberFormat="1" applyFont="1" applyAlignment="1"/>
    <xf numFmtId="0" fontId="18" fillId="17" borderId="53" xfId="0" applyNumberFormat="1" applyFont="1" applyFill="1" applyBorder="1" applyAlignment="1">
      <alignment horizontal="right" vertical="center" wrapText="1" indent="1"/>
    </xf>
    <xf numFmtId="0" fontId="18" fillId="17" borderId="56" xfId="0" applyNumberFormat="1" applyFont="1" applyFill="1" applyBorder="1" applyAlignment="1">
      <alignment horizontal="right" vertical="center" wrapText="1" indent="1"/>
    </xf>
    <xf numFmtId="0" fontId="18" fillId="17" borderId="29" xfId="0" applyNumberFormat="1" applyFont="1" applyFill="1" applyBorder="1" applyAlignment="1">
      <alignment horizontal="right" vertical="center" wrapText="1" indent="1"/>
    </xf>
    <xf numFmtId="0" fontId="18" fillId="17" borderId="0" xfId="0" applyNumberFormat="1" applyFont="1" applyFill="1" applyAlignment="1">
      <alignment horizontal="right" vertical="center" wrapText="1" indent="1"/>
    </xf>
    <xf numFmtId="0" fontId="94" fillId="0" borderId="0" xfId="0" applyNumberFormat="1" applyFont="1" applyAlignment="1">
      <alignment vertical="center" wrapText="1"/>
    </xf>
    <xf numFmtId="0" fontId="18" fillId="17" borderId="57" xfId="0" applyNumberFormat="1" applyFont="1" applyFill="1" applyBorder="1" applyAlignment="1">
      <alignment horizontal="right" vertical="center" wrapText="1" indent="1"/>
    </xf>
    <xf numFmtId="0" fontId="18" fillId="17" borderId="55" xfId="0" applyNumberFormat="1" applyFont="1" applyFill="1" applyBorder="1" applyAlignment="1">
      <alignment horizontal="right" vertical="center" wrapText="1" indent="1"/>
    </xf>
    <xf numFmtId="0" fontId="18" fillId="17" borderId="30" xfId="0" applyNumberFormat="1" applyFont="1" applyFill="1" applyBorder="1" applyAlignment="1">
      <alignment horizontal="right" vertical="center" wrapText="1" indent="1"/>
    </xf>
    <xf numFmtId="0" fontId="94" fillId="0" borderId="0" xfId="0" applyNumberFormat="1" applyFont="1" applyAlignment="1">
      <alignment vertical="top" wrapText="1"/>
    </xf>
    <xf numFmtId="49" fontId="39" fillId="0" borderId="0" xfId="0" applyNumberFormat="1" applyFont="1" applyAlignment="1">
      <alignment vertical="top" wrapText="1"/>
    </xf>
    <xf numFmtId="0" fontId="76" fillId="0" borderId="0" xfId="0" applyNumberFormat="1" applyFont="1" applyAlignment="1">
      <alignment vertical="center" wrapText="1"/>
    </xf>
    <xf numFmtId="0" fontId="76" fillId="0" borderId="0" xfId="0" applyNumberFormat="1" applyFont="1" applyAlignment="1">
      <alignment vertical="center"/>
    </xf>
    <xf numFmtId="0" fontId="18" fillId="26" borderId="58" xfId="0" applyNumberFormat="1" applyFont="1" applyFill="1" applyBorder="1" applyAlignment="1">
      <alignment horizontal="center" vertical="center" wrapText="1"/>
    </xf>
    <xf numFmtId="0" fontId="18" fillId="26" borderId="59" xfId="0" applyNumberFormat="1" applyFont="1" applyFill="1" applyBorder="1" applyAlignment="1">
      <alignment horizontal="center" vertical="center" wrapText="1"/>
    </xf>
    <xf numFmtId="0" fontId="18" fillId="26" borderId="60" xfId="0" applyNumberFormat="1" applyFont="1" applyFill="1" applyBorder="1" applyAlignment="1">
      <alignment horizontal="center" vertical="center" wrapText="1"/>
    </xf>
    <xf numFmtId="0" fontId="94" fillId="0" borderId="29" xfId="0" applyNumberFormat="1" applyFont="1" applyBorder="1" applyAlignment="1">
      <alignment vertical="center" wrapText="1"/>
    </xf>
    <xf numFmtId="0" fontId="94" fillId="0" borderId="29" xfId="0" applyNumberFormat="1" applyFont="1" applyBorder="1" applyAlignment="1">
      <alignment horizontal="left" vertical="center" wrapText="1"/>
    </xf>
    <xf numFmtId="0" fontId="94" fillId="0" borderId="0" xfId="0" applyNumberFormat="1" applyFont="1" applyAlignment="1">
      <alignment horizontal="left" vertical="center" wrapText="1"/>
    </xf>
    <xf numFmtId="0" fontId="2" fillId="0" borderId="4"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70" fillId="0" borderId="0" xfId="0" applyNumberFormat="1" applyFont="1" applyAlignment="1">
      <alignment horizontal="left" vertical="center" wrapText="1"/>
    </xf>
    <xf numFmtId="14" fontId="67"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6" xfId="0" applyNumberFormat="1" applyFont="1" applyBorder="1" applyAlignment="1">
      <alignment horizontal="left" vertical="center" wrapText="1" indent="1"/>
    </xf>
    <xf numFmtId="0" fontId="2" fillId="0" borderId="6"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49" fontId="7" fillId="0" borderId="61" xfId="0" applyNumberFormat="1" applyFont="1" applyBorder="1" applyAlignment="1">
      <alignment horizontal="center" vertical="center" wrapText="1"/>
    </xf>
    <xf numFmtId="49" fontId="7" fillId="0" borderId="62" xfId="0" applyNumberFormat="1" applyFont="1" applyBorder="1" applyAlignment="1">
      <alignment horizontal="center" vertical="center" wrapText="1"/>
    </xf>
    <xf numFmtId="49" fontId="7" fillId="0" borderId="5"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2" fillId="0" borderId="11" xfId="0" applyNumberFormat="1" applyFont="1" applyBorder="1" applyAlignment="1">
      <alignment horizontal="left" vertical="center" wrapText="1" indent="1"/>
    </xf>
    <xf numFmtId="0" fontId="2" fillId="0" borderId="8" xfId="0" applyNumberFormat="1" applyFont="1" applyBorder="1" applyAlignment="1">
      <alignment horizontal="left" vertical="center" wrapText="1" indent="1"/>
    </xf>
    <xf numFmtId="0" fontId="2" fillId="0" borderId="28" xfId="0" applyNumberFormat="1" applyFont="1" applyBorder="1" applyAlignment="1">
      <alignment horizontal="left" vertical="center" wrapText="1" indent="1"/>
    </xf>
    <xf numFmtId="0" fontId="2" fillId="0" borderId="20" xfId="0" applyNumberFormat="1" applyFont="1" applyBorder="1" applyAlignment="1">
      <alignment horizontal="left" vertical="center" indent="1"/>
    </xf>
    <xf numFmtId="0" fontId="2" fillId="0" borderId="14" xfId="0" applyNumberFormat="1" applyFont="1" applyBorder="1" applyAlignment="1">
      <alignment horizontal="left" vertical="center" indent="1"/>
    </xf>
    <xf numFmtId="0" fontId="2" fillId="0" borderId="21" xfId="0" applyNumberFormat="1" applyFont="1" applyBorder="1" applyAlignment="1">
      <alignment horizontal="left" vertical="center" indent="1"/>
    </xf>
    <xf numFmtId="0" fontId="2" fillId="13"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48" fillId="0" borderId="28" xfId="0" applyNumberFormat="1" applyFont="1" applyBorder="1" applyAlignment="1">
      <alignment horizontal="center" vertical="center" wrapText="1"/>
    </xf>
    <xf numFmtId="0" fontId="48"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48" fillId="0" borderId="3" xfId="0" applyNumberFormat="1" applyFont="1" applyBorder="1" applyAlignment="1">
      <alignment horizontal="center" vertical="center" wrapText="1"/>
    </xf>
    <xf numFmtId="0" fontId="2" fillId="0" borderId="63" xfId="0" applyNumberFormat="1" applyFont="1" applyBorder="1" applyAlignment="1">
      <alignment horizontal="center" vertical="center" wrapText="1"/>
    </xf>
    <xf numFmtId="0" fontId="2" fillId="0" borderId="64" xfId="0" applyNumberFormat="1" applyFont="1" applyBorder="1" applyAlignment="1">
      <alignment horizontal="center" vertical="center" wrapText="1"/>
    </xf>
    <xf numFmtId="0" fontId="2" fillId="11" borderId="8" xfId="0" applyNumberFormat="1" applyFont="1" applyFill="1" applyBorder="1" applyAlignment="1" applyProtection="1">
      <alignment horizontal="left" vertical="center" wrapText="1" indent="1"/>
      <protection locked="0"/>
    </xf>
    <xf numFmtId="0" fontId="2" fillId="11" borderId="14" xfId="0" applyNumberFormat="1" applyFont="1" applyFill="1" applyBorder="1" applyAlignment="1" applyProtection="1">
      <alignment horizontal="left" vertical="center" wrapText="1" indent="1"/>
      <protection locked="0"/>
    </xf>
    <xf numFmtId="49" fontId="2" fillId="11"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0" fontId="2" fillId="11" borderId="8" xfId="0" applyNumberFormat="1" applyFont="1" applyFill="1" applyBorder="1" applyAlignment="1">
      <alignment horizontal="left" vertical="center" wrapText="1" indent="2"/>
    </xf>
    <xf numFmtId="0" fontId="2" fillId="11" borderId="27" xfId="0" applyNumberFormat="1" applyFont="1" applyFill="1" applyBorder="1" applyAlignment="1">
      <alignment horizontal="left" vertical="center" wrapText="1" indent="2"/>
    </xf>
    <xf numFmtId="0" fontId="2" fillId="11" borderId="14" xfId="0" applyNumberFormat="1" applyFont="1" applyFill="1" applyBorder="1" applyAlignment="1">
      <alignment horizontal="left" vertical="center" wrapText="1" indent="2"/>
    </xf>
    <xf numFmtId="49" fontId="2" fillId="11" borderId="14" xfId="0" applyNumberFormat="1" applyFont="1" applyFill="1" applyBorder="1" applyAlignment="1">
      <alignment horizontal="center" vertical="center" wrapText="1"/>
    </xf>
    <xf numFmtId="14" fontId="54" fillId="0" borderId="65" xfId="0" applyNumberFormat="1" applyFont="1" applyBorder="1" applyAlignment="1">
      <alignment horizontal="center" vertical="center" wrapText="1"/>
    </xf>
    <xf numFmtId="0" fontId="2" fillId="0" borderId="65"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2"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2" fillId="11" borderId="8" xfId="0" applyNumberFormat="1" applyFont="1" applyFill="1" applyBorder="1" applyAlignment="1">
      <alignment horizontal="center" vertical="top" wrapText="1"/>
    </xf>
    <xf numFmtId="0" fontId="2" fillId="11" borderId="27" xfId="0" applyNumberFormat="1" applyFont="1" applyFill="1" applyBorder="1" applyAlignment="1">
      <alignment horizontal="center" vertical="top" wrapText="1"/>
    </xf>
    <xf numFmtId="0" fontId="2" fillId="11"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2" fillId="0" borderId="8" xfId="0" applyNumberFormat="1" applyFont="1" applyBorder="1" applyAlignment="1">
      <alignment horizontal="left" vertical="top" wrapText="1"/>
    </xf>
    <xf numFmtId="0" fontId="2" fillId="0" borderId="27" xfId="0" applyNumberFormat="1" applyFont="1" applyBorder="1" applyAlignment="1">
      <alignment horizontal="left" vertical="top" wrapText="1"/>
    </xf>
    <xf numFmtId="0" fontId="2" fillId="0" borderId="14" xfId="0" applyNumberFormat="1" applyFont="1" applyBorder="1" applyAlignment="1">
      <alignment horizontal="left" vertical="top" wrapText="1"/>
    </xf>
    <xf numFmtId="49" fontId="20" fillId="6" borderId="18" xfId="0" applyNumberFormat="1" applyFont="1" applyFill="1" applyBorder="1" applyAlignment="1">
      <alignment horizontal="center" vertical="center" wrapText="1"/>
    </xf>
    <xf numFmtId="0" fontId="2" fillId="0" borderId="11" xfId="0" applyNumberFormat="1" applyFont="1" applyBorder="1" applyAlignment="1">
      <alignment horizontal="left" vertical="top" wrapText="1" indent="1"/>
    </xf>
    <xf numFmtId="0" fontId="2" fillId="0" borderId="8" xfId="0" applyNumberFormat="1" applyFont="1" applyBorder="1" applyAlignment="1">
      <alignment horizontal="left" vertical="top" wrapText="1" indent="1"/>
    </xf>
    <xf numFmtId="0" fontId="2" fillId="0" borderId="28" xfId="0" applyNumberFormat="1" applyFont="1" applyBorder="1" applyAlignment="1">
      <alignment horizontal="left" vertical="top" wrapText="1" indent="1"/>
    </xf>
    <xf numFmtId="0" fontId="46" fillId="0" borderId="15" xfId="0" applyNumberFormat="1" applyFont="1" applyBorder="1" applyAlignment="1">
      <alignment horizontal="left" vertical="center" wrapText="1" indent="1"/>
    </xf>
    <xf numFmtId="0" fontId="46" fillId="0" borderId="27" xfId="0" applyNumberFormat="1" applyFont="1" applyBorder="1" applyAlignment="1">
      <alignment horizontal="left" vertical="center" wrapText="1" indent="1"/>
    </xf>
    <xf numFmtId="0" fontId="46" fillId="0" borderId="13" xfId="0" applyNumberFormat="1" applyFont="1" applyBorder="1" applyAlignment="1">
      <alignment horizontal="left" vertical="center" wrapText="1" indent="1"/>
    </xf>
    <xf numFmtId="0" fontId="2"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2" fillId="0" borderId="10" xfId="0" applyNumberFormat="1" applyFont="1" applyBorder="1" applyAlignment="1">
      <alignment horizontal="left" vertical="center" wrapText="1" indent="1"/>
    </xf>
    <xf numFmtId="0" fontId="2" fillId="0" borderId="8" xfId="0" applyNumberFormat="1" applyFont="1" applyBorder="1" applyAlignment="1">
      <alignment horizontal="center" vertical="center" wrapText="1"/>
    </xf>
    <xf numFmtId="0" fontId="2" fillId="0" borderId="28"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0" fontId="2" fillId="0" borderId="15" xfId="0" applyNumberFormat="1" applyFont="1" applyBorder="1" applyAlignment="1">
      <alignment horizontal="center" vertical="center" wrapText="1"/>
    </xf>
    <xf numFmtId="0" fontId="2" fillId="0" borderId="27" xfId="0" applyNumberFormat="1" applyFont="1" applyBorder="1" applyAlignment="1">
      <alignment horizontal="center" vertical="center" wrapText="1"/>
    </xf>
    <xf numFmtId="0" fontId="2" fillId="0" borderId="21" xfId="0" applyNumberFormat="1" applyFont="1" applyBorder="1" applyAlignment="1">
      <alignment horizontal="center" vertical="center" wrapText="1"/>
    </xf>
    <xf numFmtId="0" fontId="2" fillId="0" borderId="20" xfId="0" applyNumberFormat="1" applyFont="1" applyBorder="1" applyAlignment="1">
      <alignment horizontal="center" vertical="center" wrapText="1"/>
    </xf>
    <xf numFmtId="49" fontId="2" fillId="0" borderId="3" xfId="0" applyNumberFormat="1" applyFont="1" applyBorder="1" applyAlignment="1">
      <alignment horizontal="center" vertical="center"/>
    </xf>
    <xf numFmtId="49" fontId="2" fillId="0" borderId="8" xfId="0" applyNumberFormat="1" applyFont="1" applyBorder="1" applyAlignment="1">
      <alignment horizontal="center" vertical="center"/>
    </xf>
    <xf numFmtId="0" fontId="2" fillId="0" borderId="3" xfId="0" applyNumberFormat="1" applyFont="1" applyBorder="1" applyAlignment="1">
      <alignment horizontal="left" vertical="center" wrapText="1"/>
    </xf>
    <xf numFmtId="0" fontId="2" fillId="0" borderId="8" xfId="0" applyNumberFormat="1" applyFont="1" applyBorder="1" applyAlignment="1">
      <alignment horizontal="left" vertical="center" wrapText="1"/>
    </xf>
    <xf numFmtId="0" fontId="2" fillId="0" borderId="28" xfId="0" applyNumberFormat="1" applyFont="1" applyBorder="1" applyAlignment="1">
      <alignment horizontal="left" vertical="center" wrapText="1"/>
    </xf>
    <xf numFmtId="49" fontId="2" fillId="11" borderId="8" xfId="0" applyNumberFormat="1" applyFont="1" applyFill="1" applyBorder="1" applyAlignment="1">
      <alignment horizontal="center" vertical="center" wrapText="1"/>
    </xf>
    <xf numFmtId="49" fontId="2" fillId="11" borderId="27" xfId="0" applyNumberFormat="1" applyFont="1" applyFill="1" applyBorder="1" applyAlignment="1">
      <alignment horizontal="center" vertical="center" wrapText="1"/>
    </xf>
    <xf numFmtId="0" fontId="2" fillId="0" borderId="10" xfId="0" applyNumberFormat="1" applyFont="1" applyBorder="1" applyAlignment="1">
      <alignment horizontal="center" vertical="center"/>
    </xf>
    <xf numFmtId="0" fontId="2" fillId="0" borderId="0" xfId="0" applyNumberFormat="1" applyFont="1" applyAlignment="1">
      <alignment horizontal="center" vertical="center"/>
    </xf>
    <xf numFmtId="0" fontId="12" fillId="0" borderId="18" xfId="0" applyNumberFormat="1" applyFont="1" applyBorder="1" applyAlignment="1">
      <alignment horizontal="left" vertical="center"/>
    </xf>
    <xf numFmtId="0" fontId="12" fillId="0" borderId="20" xfId="0" applyNumberFormat="1" applyFont="1" applyBorder="1" applyAlignment="1">
      <alignment horizontal="left" vertical="center"/>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2" fillId="0" borderId="5" xfId="0" applyNumberFormat="1" applyFont="1" applyBorder="1" applyAlignment="1">
      <alignment horizontal="left" vertical="center" wrapText="1"/>
    </xf>
    <xf numFmtId="0" fontId="2" fillId="0" borderId="18" xfId="0" applyNumberFormat="1" applyFont="1" applyBorder="1" applyAlignment="1">
      <alignment horizontal="left" vertical="center" wrapText="1" indent="1"/>
    </xf>
    <xf numFmtId="49" fontId="2" fillId="6" borderId="0" xfId="0" applyNumberFormat="1" applyFont="1" applyFill="1" applyAlignment="1">
      <alignment horizontal="center" vertical="center" wrapText="1"/>
    </xf>
    <xf numFmtId="0" fontId="17"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6" borderId="0" xfId="0" applyNumberFormat="1" applyFont="1" applyFill="1" applyAlignment="1">
      <alignment horizontal="center" vertical="center" wrapText="1"/>
    </xf>
    <xf numFmtId="0" fontId="17" fillId="0" borderId="0" xfId="0" applyNumberFormat="1" applyFont="1" applyAlignment="1">
      <alignment horizontal="left" vertical="top" wrapText="1" indent="1"/>
    </xf>
    <xf numFmtId="0" fontId="67" fillId="6" borderId="0" xfId="0" applyNumberFormat="1" applyFont="1" applyFill="1" applyAlignment="1">
      <alignment horizontal="left" vertical="center" wrapText="1"/>
    </xf>
    <xf numFmtId="0" fontId="0"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2" fillId="6" borderId="8" xfId="0" applyNumberFormat="1" applyFont="1" applyFill="1" applyBorder="1" applyAlignment="1">
      <alignment horizontal="left" vertical="top" wrapText="1"/>
    </xf>
    <xf numFmtId="0" fontId="2" fillId="6" borderId="27" xfId="0" applyNumberFormat="1" applyFont="1" applyFill="1" applyBorder="1" applyAlignment="1">
      <alignment horizontal="left" vertical="top" wrapText="1"/>
    </xf>
    <xf numFmtId="0" fontId="2" fillId="6" borderId="14" xfId="0" applyNumberFormat="1" applyFont="1" applyFill="1" applyBorder="1" applyAlignment="1">
      <alignment horizontal="left" vertical="top"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2" fillId="0" borderId="20" xfId="0" applyNumberFormat="1" applyFont="1" applyBorder="1" applyAlignment="1">
      <alignment horizontal="left" vertical="center" wrapText="1" indent="1"/>
    </xf>
    <xf numFmtId="0" fontId="2" fillId="0" borderId="14" xfId="0" applyNumberFormat="1" applyFont="1" applyBorder="1" applyAlignment="1">
      <alignment horizontal="left" vertical="center" wrapText="1" indent="1"/>
    </xf>
    <xf numFmtId="0" fontId="2" fillId="0" borderId="21" xfId="0" applyNumberFormat="1" applyFont="1" applyBorder="1" applyAlignment="1">
      <alignment horizontal="left" vertical="center" wrapText="1" indent="1"/>
    </xf>
    <xf numFmtId="0" fontId="19"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2"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2" fillId="11" borderId="10" xfId="0" applyNumberFormat="1" applyFont="1" applyFill="1" applyBorder="1" applyAlignment="1">
      <alignment horizontal="left" vertical="center" wrapText="1"/>
    </xf>
    <xf numFmtId="0" fontId="2" fillId="11" borderId="18" xfId="0" applyNumberFormat="1" applyFont="1" applyFill="1" applyBorder="1" applyAlignment="1">
      <alignment horizontal="left" vertical="center" wrapText="1"/>
    </xf>
    <xf numFmtId="0" fontId="2"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2" fillId="11" borderId="5" xfId="0" applyNumberFormat="1" applyFont="1" applyFill="1" applyBorder="1" applyAlignment="1">
      <alignment horizontal="left" vertical="center" wrapText="1"/>
    </xf>
    <xf numFmtId="0" fontId="2" fillId="11" borderId="6" xfId="0" applyNumberFormat="1" applyFont="1" applyFill="1" applyBorder="1" applyAlignment="1">
      <alignment horizontal="left" vertical="center" wrapText="1"/>
    </xf>
    <xf numFmtId="0" fontId="2" fillId="11" borderId="4" xfId="0" applyNumberFormat="1" applyFont="1" applyFill="1" applyBorder="1" applyAlignment="1">
      <alignment horizontal="left" vertical="center" wrapText="1"/>
    </xf>
    <xf numFmtId="0" fontId="0" fillId="6" borderId="3" xfId="0" applyNumberFormat="1" applyFont="1" applyFill="1" applyBorder="1" applyAlignment="1">
      <alignment horizontal="right" vertical="center" wrapText="1" indent="1"/>
    </xf>
    <xf numFmtId="167" fontId="2" fillId="5" borderId="3" xfId="0" applyNumberFormat="1" applyFont="1" applyFill="1" applyBorder="1" applyAlignment="1">
      <alignment horizontal="left" vertical="center" wrapText="1" indent="1"/>
    </xf>
    <xf numFmtId="0" fontId="2" fillId="5" borderId="3" xfId="0" applyNumberFormat="1" applyFont="1" applyFill="1" applyBorder="1" applyAlignment="1">
      <alignment horizontal="left" vertical="center" wrapText="1" indent="1"/>
    </xf>
    <xf numFmtId="0" fontId="2" fillId="5" borderId="5" xfId="0" applyNumberFormat="1" applyFont="1" applyFill="1" applyBorder="1" applyAlignment="1">
      <alignment horizontal="left" vertical="center" wrapText="1"/>
    </xf>
    <xf numFmtId="0" fontId="2" fillId="5" borderId="6" xfId="0" applyNumberFormat="1" applyFont="1" applyFill="1" applyBorder="1" applyAlignment="1">
      <alignment horizontal="left" vertical="center" wrapText="1"/>
    </xf>
    <xf numFmtId="0" fontId="2" fillId="5" borderId="4" xfId="0" applyNumberFormat="1" applyFont="1" applyFill="1" applyBorder="1" applyAlignment="1">
      <alignment horizontal="left" vertical="center" wrapText="1"/>
    </xf>
    <xf numFmtId="49" fontId="19" fillId="0" borderId="3" xfId="0" applyNumberFormat="1" applyFont="1" applyBorder="1" applyAlignment="1">
      <alignment horizontal="center" vertical="center" wrapText="1"/>
    </xf>
    <xf numFmtId="167" fontId="19" fillId="0" borderId="3"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19" fillId="0" borderId="3" xfId="0" applyNumberFormat="1" applyFont="1" applyBorder="1" applyAlignment="1">
      <alignment horizontal="center" vertical="center"/>
    </xf>
    <xf numFmtId="0" fontId="19" fillId="0" borderId="5" xfId="0" applyNumberFormat="1" applyFont="1" applyBorder="1" applyAlignment="1">
      <alignment horizontal="center" vertical="center"/>
    </xf>
    <xf numFmtId="0" fontId="19" fillId="0" borderId="3" xfId="0" applyNumberFormat="1" applyFont="1" applyBorder="1" applyAlignment="1">
      <alignment horizontal="center" vertical="center" wrapText="1"/>
    </xf>
    <xf numFmtId="0" fontId="19" fillId="0" borderId="5" xfId="0" applyNumberFormat="1" applyFont="1" applyBorder="1" applyAlignment="1">
      <alignment horizontal="center" vertical="center" wrapText="1"/>
    </xf>
    <xf numFmtId="0" fontId="20" fillId="0" borderId="0" xfId="0" applyNumberFormat="1" applyFont="1" applyAlignment="1">
      <alignment horizontal="center" vertical="center" wrapText="1"/>
    </xf>
    <xf numFmtId="167"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167" fontId="0" fillId="10" borderId="8" xfId="0" applyNumberFormat="1" applyFont="1" applyFill="1" applyBorder="1" applyAlignment="1" applyProtection="1">
      <alignment horizontal="center" vertical="center" wrapText="1"/>
      <protection locked="0"/>
    </xf>
    <xf numFmtId="49" fontId="0" fillId="10" borderId="14" xfId="0" applyNumberFormat="1" applyFont="1" applyFill="1" applyBorder="1" applyAlignment="1" applyProtection="1">
      <alignment horizontal="center" vertical="center" wrapText="1"/>
      <protection locked="0"/>
    </xf>
    <xf numFmtId="0" fontId="19" fillId="0" borderId="8"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8" fillId="0" borderId="18"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0" fontId="0" fillId="6" borderId="5" xfId="0" applyNumberFormat="1" applyFont="1" applyFill="1" applyBorder="1" applyAlignment="1">
      <alignment horizontal="center" vertical="center" wrapText="1"/>
    </xf>
    <xf numFmtId="0" fontId="0" fillId="6" borderId="6" xfId="0" applyNumberFormat="1" applyFont="1" applyFill="1" applyBorder="1" applyAlignment="1">
      <alignment horizontal="center" vertical="center" wrapText="1"/>
    </xf>
    <xf numFmtId="0" fontId="0" fillId="6" borderId="4"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0" fontId="2" fillId="6" borderId="27" xfId="0" applyNumberFormat="1" applyFont="1" applyFill="1" applyBorder="1" applyAlignment="1">
      <alignment horizontal="center" vertical="center" wrapText="1"/>
    </xf>
    <xf numFmtId="0" fontId="2" fillId="6" borderId="14" xfId="0" applyNumberFormat="1" applyFont="1" applyFill="1" applyBorder="1" applyAlignment="1">
      <alignment horizontal="center" vertical="center" wrapText="1"/>
    </xf>
    <xf numFmtId="49" fontId="12" fillId="8" borderId="8" xfId="0" applyNumberFormat="1" applyFont="1" applyFill="1" applyBorder="1" applyAlignment="1">
      <alignment horizontal="center" vertical="center" textRotation="90" wrapText="1"/>
    </xf>
    <xf numFmtId="49" fontId="12" fillId="8" borderId="27" xfId="0" applyNumberFormat="1" applyFont="1" applyFill="1" applyBorder="1" applyAlignment="1">
      <alignment horizontal="center" vertical="center" textRotation="90" wrapText="1"/>
    </xf>
    <xf numFmtId="49" fontId="12" fillId="8" borderId="14" xfId="0" applyNumberFormat="1" applyFont="1" applyFill="1" applyBorder="1" applyAlignment="1">
      <alignment horizontal="center" vertical="center" textRotation="90" wrapText="1"/>
    </xf>
    <xf numFmtId="0" fontId="17" fillId="0" borderId="8" xfId="0" applyNumberFormat="1" applyFont="1" applyBorder="1" applyAlignment="1">
      <alignment horizontal="left" vertical="top" wrapText="1"/>
    </xf>
    <xf numFmtId="0" fontId="17" fillId="0" borderId="27" xfId="0" applyNumberFormat="1" applyFont="1" applyBorder="1" applyAlignment="1">
      <alignment horizontal="left" vertical="top" wrapText="1"/>
    </xf>
    <xf numFmtId="0" fontId="17" fillId="0" borderId="14" xfId="0" applyNumberFormat="1" applyFont="1" applyBorder="1" applyAlignment="1">
      <alignment horizontal="left" vertical="top" wrapText="1"/>
    </xf>
    <xf numFmtId="0" fontId="20" fillId="0" borderId="8" xfId="0" applyNumberFormat="1" applyFont="1" applyBorder="1" applyAlignment="1">
      <alignment horizontal="center" vertical="center" wrapText="1"/>
    </xf>
    <xf numFmtId="0" fontId="20" fillId="0" borderId="14" xfId="0" applyNumberFormat="1" applyFont="1" applyBorder="1" applyAlignment="1">
      <alignment horizontal="center" vertical="center" wrapText="1"/>
    </xf>
    <xf numFmtId="0" fontId="0" fillId="6" borderId="10" xfId="0" applyNumberFormat="1" applyFont="1" applyFill="1" applyBorder="1" applyAlignment="1">
      <alignment horizontal="center" vertical="center" wrapText="1"/>
    </xf>
    <xf numFmtId="0" fontId="20" fillId="0" borderId="5" xfId="0" applyNumberFormat="1" applyFont="1" applyBorder="1" applyAlignment="1">
      <alignment horizontal="left" vertical="center" wrapText="1"/>
    </xf>
    <xf numFmtId="0" fontId="20" fillId="0" borderId="6" xfId="0" applyNumberFormat="1" applyFont="1" applyBorder="1" applyAlignment="1">
      <alignment horizontal="left" vertical="center" wrapText="1"/>
    </xf>
    <xf numFmtId="0" fontId="20" fillId="0" borderId="4"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2" fillId="0" borderId="10" xfId="0" applyNumberFormat="1" applyFont="1" applyBorder="1" applyAlignment="1">
      <alignment horizontal="center" vertical="center" wrapText="1"/>
    </xf>
    <xf numFmtId="0" fontId="2" fillId="0" borderId="18" xfId="0" applyNumberFormat="1" applyFont="1" applyBorder="1" applyAlignment="1">
      <alignment horizontal="center" vertical="center" wrapText="1"/>
    </xf>
    <xf numFmtId="0" fontId="2" fillId="0" borderId="3" xfId="0" applyNumberFormat="1" applyFont="1" applyBorder="1" applyAlignment="1">
      <alignment horizontal="center" vertical="center"/>
    </xf>
    <xf numFmtId="0" fontId="2" fillId="0" borderId="5" xfId="0" applyNumberFormat="1" applyFont="1" applyBorder="1" applyAlignment="1">
      <alignment horizontal="center" vertical="center"/>
    </xf>
    <xf numFmtId="0" fontId="2" fillId="11" borderId="11"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indent="1"/>
    </xf>
    <xf numFmtId="0" fontId="0" fillId="6" borderId="28" xfId="0" applyNumberFormat="1" applyFont="1" applyFill="1" applyBorder="1" applyAlignment="1">
      <alignment horizontal="center" vertical="center" wrapText="1"/>
    </xf>
    <xf numFmtId="0" fontId="0" fillId="6" borderId="11" xfId="0" applyNumberFormat="1" applyFont="1" applyFill="1" applyBorder="1" applyAlignment="1">
      <alignment horizontal="center" vertical="center" wrapText="1"/>
    </xf>
    <xf numFmtId="0" fontId="0" fillId="6" borderId="13" xfId="0" applyNumberFormat="1" applyFont="1" applyFill="1" applyBorder="1" applyAlignment="1">
      <alignment horizontal="center" vertical="center" wrapText="1"/>
    </xf>
    <xf numFmtId="0" fontId="0" fillId="6" borderId="0" xfId="0" applyNumberFormat="1" applyFont="1" applyFill="1" applyAlignment="1">
      <alignment horizontal="center" vertical="center" wrapText="1"/>
    </xf>
    <xf numFmtId="0" fontId="0" fillId="6" borderId="21" xfId="0" applyNumberFormat="1" applyFont="1" applyFill="1" applyBorder="1" applyAlignment="1">
      <alignment horizontal="center" vertical="center" wrapText="1"/>
    </xf>
    <xf numFmtId="0" fontId="0" fillId="6" borderId="18" xfId="0" applyNumberFormat="1" applyFont="1" applyFill="1" applyBorder="1" applyAlignment="1">
      <alignment horizontal="center" vertical="center" wrapText="1"/>
    </xf>
    <xf numFmtId="0" fontId="0" fillId="6" borderId="20" xfId="0" applyNumberFormat="1" applyFont="1" applyFill="1" applyBorder="1" applyAlignment="1">
      <alignment horizontal="center" vertical="center" wrapText="1"/>
    </xf>
    <xf numFmtId="0" fontId="8" fillId="0" borderId="3" xfId="0" applyNumberFormat="1" applyFont="1" applyBorder="1" applyAlignment="1">
      <alignment horizontal="center" vertical="center" wrapText="1"/>
    </xf>
    <xf numFmtId="49" fontId="2" fillId="10" borderId="8" xfId="0" applyNumberFormat="1" applyFont="1" applyFill="1" applyBorder="1" applyAlignment="1" applyProtection="1">
      <alignment horizontal="left" vertical="center" wrapText="1" indent="6"/>
      <protection locked="0"/>
    </xf>
    <xf numFmtId="49" fontId="2" fillId="10" borderId="27" xfId="0" applyNumberFormat="1" applyFont="1" applyFill="1" applyBorder="1" applyAlignment="1" applyProtection="1">
      <alignment horizontal="left" vertical="center" wrapText="1" indent="6"/>
      <protection locked="0"/>
    </xf>
    <xf numFmtId="49" fontId="2" fillId="10" borderId="14" xfId="0" applyNumberFormat="1" applyFont="1" applyFill="1" applyBorder="1" applyAlignment="1" applyProtection="1">
      <alignment horizontal="left" vertical="center" wrapText="1" indent="6"/>
      <protection locked="0"/>
    </xf>
    <xf numFmtId="0" fontId="2" fillId="6" borderId="8" xfId="0" applyNumberFormat="1" applyFont="1" applyFill="1" applyBorder="1" applyAlignment="1">
      <alignment horizontal="left" vertical="center" wrapText="1"/>
    </xf>
    <xf numFmtId="0" fontId="2" fillId="6" borderId="27" xfId="0" applyNumberFormat="1" applyFont="1" applyFill="1" applyBorder="1" applyAlignment="1">
      <alignment horizontal="left" vertical="center" wrapText="1"/>
    </xf>
    <xf numFmtId="0" fontId="2" fillId="6" borderId="14" xfId="0" applyNumberFormat="1" applyFont="1" applyFill="1" applyBorder="1" applyAlignment="1">
      <alignment horizontal="left" vertical="center" wrapText="1"/>
    </xf>
    <xf numFmtId="0" fontId="20" fillId="0" borderId="15" xfId="0" applyNumberFormat="1" applyFont="1" applyBorder="1" applyAlignment="1">
      <alignment horizontal="center" vertical="top" wrapText="1"/>
    </xf>
    <xf numFmtId="0" fontId="0" fillId="6" borderId="15" xfId="0" applyNumberFormat="1" applyFont="1" applyFill="1" applyBorder="1" applyAlignment="1">
      <alignment horizontal="center" vertical="center" wrapText="1"/>
    </xf>
    <xf numFmtId="0" fontId="2" fillId="6" borderId="28" xfId="0" applyNumberFormat="1" applyFont="1" applyFill="1" applyBorder="1" applyAlignment="1">
      <alignment horizontal="center" vertical="center" wrapText="1"/>
    </xf>
    <xf numFmtId="0" fontId="2" fillId="6" borderId="13" xfId="0" applyNumberFormat="1" applyFont="1" applyFill="1" applyBorder="1" applyAlignment="1">
      <alignment horizontal="center" vertical="center" wrapText="1"/>
    </xf>
    <xf numFmtId="0" fontId="2" fillId="6" borderId="21" xfId="0" applyNumberFormat="1" applyFont="1" applyFill="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49" fontId="2" fillId="11" borderId="3" xfId="0" applyNumberFormat="1" applyFont="1" applyFill="1" applyBorder="1" applyAlignment="1">
      <alignment horizontal="left" vertical="center" wrapText="1" indent="1"/>
    </xf>
    <xf numFmtId="0" fontId="2" fillId="7" borderId="5" xfId="0" applyNumberFormat="1" applyFont="1" applyFill="1" applyBorder="1" applyAlignment="1" applyProtection="1">
      <alignment horizontal="left" vertical="center" wrapText="1"/>
      <protection locked="0"/>
    </xf>
    <xf numFmtId="0" fontId="2" fillId="7" borderId="6" xfId="0" applyNumberFormat="1" applyFont="1" applyFill="1" applyBorder="1" applyAlignment="1" applyProtection="1">
      <alignment horizontal="left" vertical="center" wrapText="1"/>
      <protection locked="0"/>
    </xf>
    <xf numFmtId="0" fontId="2" fillId="7" borderId="4" xfId="0" applyNumberFormat="1" applyFont="1" applyFill="1" applyBorder="1" applyAlignment="1" applyProtection="1">
      <alignment horizontal="left" vertical="center" wrapText="1"/>
      <protection locked="0"/>
    </xf>
    <xf numFmtId="49" fontId="2" fillId="7" borderId="5" xfId="0" applyNumberFormat="1" applyFont="1" applyFill="1" applyBorder="1" applyAlignment="1" applyProtection="1">
      <alignment horizontal="left" vertical="center" wrapText="1"/>
      <protection locked="0"/>
    </xf>
    <xf numFmtId="49" fontId="2" fillId="7" borderId="6" xfId="0" applyNumberFormat="1" applyFont="1" applyFill="1" applyBorder="1" applyAlignment="1" applyProtection="1">
      <alignment horizontal="left" vertical="center" wrapText="1"/>
      <protection locked="0"/>
    </xf>
    <xf numFmtId="49" fontId="2" fillId="7" borderId="4" xfId="0" applyNumberFormat="1" applyFont="1" applyFill="1" applyBorder="1" applyAlignment="1" applyProtection="1">
      <alignment horizontal="left" vertical="center" wrapText="1"/>
      <protection locked="0"/>
    </xf>
    <xf numFmtId="0" fontId="17" fillId="0" borderId="3" xfId="0" applyNumberFormat="1" applyFont="1" applyBorder="1" applyAlignment="1">
      <alignment horizontal="left" vertical="top" wrapText="1"/>
    </xf>
    <xf numFmtId="49" fontId="2" fillId="11" borderId="3" xfId="0" applyNumberFormat="1" applyFont="1" applyFill="1" applyBorder="1" applyAlignment="1" applyProtection="1">
      <alignment horizontal="left" vertical="center" wrapText="1" indent="1"/>
      <protection locked="0"/>
    </xf>
    <xf numFmtId="4" fontId="2" fillId="10" borderId="3" xfId="0" applyNumberFormat="1" applyFont="1" applyFill="1" applyBorder="1" applyAlignment="1" applyProtection="1">
      <alignment horizontal="left" vertical="center" wrapText="1" indent="1"/>
      <protection locked="0"/>
    </xf>
    <xf numFmtId="49" fontId="2" fillId="7" borderId="8" xfId="0" applyNumberFormat="1" applyFont="1" applyFill="1" applyBorder="1" applyAlignment="1" applyProtection="1">
      <alignment horizontal="left" vertical="center" wrapText="1" indent="6"/>
      <protection locked="0"/>
    </xf>
    <xf numFmtId="49" fontId="2" fillId="7" borderId="27" xfId="0" applyNumberFormat="1" applyFont="1" applyFill="1" applyBorder="1" applyAlignment="1" applyProtection="1">
      <alignment horizontal="left" vertical="center" wrapText="1" indent="6"/>
      <protection locked="0"/>
    </xf>
    <xf numFmtId="49" fontId="2" fillId="7" borderId="14" xfId="0" applyNumberFormat="1" applyFont="1" applyFill="1" applyBorder="1" applyAlignment="1" applyProtection="1">
      <alignment horizontal="left" vertical="center" wrapText="1" indent="6"/>
      <protection locked="0"/>
    </xf>
    <xf numFmtId="4" fontId="2" fillId="10" borderId="3" xfId="0" applyNumberFormat="1" applyFont="1" applyFill="1" applyBorder="1" applyAlignment="1" applyProtection="1">
      <alignment horizontal="center" vertical="center" wrapText="1"/>
      <protection locked="0"/>
    </xf>
    <xf numFmtId="49" fontId="2" fillId="11" borderId="11" xfId="0" applyNumberFormat="1" applyFont="1" applyFill="1" applyBorder="1" applyAlignment="1">
      <alignment horizontal="center" vertical="center" wrapText="1"/>
    </xf>
    <xf numFmtId="49" fontId="2" fillId="11" borderId="20" xfId="0" applyNumberFormat="1" applyFont="1" applyFill="1" applyBorder="1" applyAlignment="1">
      <alignment horizontal="center" vertical="center" wrapText="1"/>
    </xf>
    <xf numFmtId="0" fontId="20" fillId="0" borderId="10" xfId="0" applyNumberFormat="1" applyFont="1" applyBorder="1" applyAlignment="1">
      <alignment horizontal="left" vertical="center" wrapText="1"/>
    </xf>
    <xf numFmtId="49" fontId="65" fillId="17" borderId="0" xfId="0" applyNumberFormat="1" applyFont="1" applyFill="1" applyAlignment="1">
      <alignment horizontal="center" vertical="center" textRotation="90" wrapText="1"/>
    </xf>
    <xf numFmtId="0" fontId="46" fillId="0" borderId="0" xfId="0" applyNumberFormat="1" applyFont="1" applyAlignment="1">
      <alignment horizontal="center" vertical="center" wrapText="1"/>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2" fillId="0" borderId="5" xfId="0" applyNumberFormat="1" applyFont="1" applyBorder="1" applyAlignment="1">
      <alignment horizontal="right" vertical="center" wrapText="1"/>
    </xf>
    <xf numFmtId="0" fontId="2" fillId="0" borderId="6" xfId="0" applyNumberFormat="1" applyFont="1" applyBorder="1" applyAlignment="1">
      <alignment horizontal="right" vertical="center" wrapText="1"/>
    </xf>
    <xf numFmtId="49" fontId="20" fillId="0" borderId="8" xfId="0" applyNumberFormat="1" applyFont="1" applyBorder="1" applyAlignment="1">
      <alignment horizontal="center" vertical="center" wrapText="1"/>
    </xf>
    <xf numFmtId="49" fontId="20" fillId="0" borderId="27" xfId="0" applyNumberFormat="1" applyFont="1" applyBorder="1" applyAlignment="1">
      <alignment horizontal="center" vertical="center" wrapText="1"/>
    </xf>
    <xf numFmtId="49" fontId="20" fillId="0" borderId="14" xfId="0" applyNumberFormat="1" applyFont="1" applyBorder="1" applyAlignment="1">
      <alignment horizontal="center" vertical="center" wrapText="1"/>
    </xf>
    <xf numFmtId="0" fontId="0" fillId="5" borderId="3" xfId="0" applyNumberFormat="1" applyFont="1" applyFill="1" applyBorder="1" applyAlignment="1">
      <alignment horizontal="left" vertical="center" wrapText="1" indent="1"/>
    </xf>
    <xf numFmtId="0" fontId="17" fillId="0" borderId="0" xfId="0" applyNumberFormat="1" applyFont="1" applyAlignment="1">
      <alignment horizontal="left" vertical="top" wrapText="1"/>
    </xf>
    <xf numFmtId="0" fontId="2" fillId="0" borderId="14" xfId="0" applyNumberFormat="1" applyFont="1" applyBorder="1" applyAlignment="1">
      <alignment horizontal="left" vertical="center" wrapText="1"/>
    </xf>
    <xf numFmtId="0" fontId="19"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20" fillId="0" borderId="6" xfId="0" applyNumberFormat="1" applyFont="1" applyBorder="1" applyAlignment="1">
      <alignment horizontal="right" vertical="center" wrapText="1" indent="1"/>
    </xf>
    <xf numFmtId="0" fontId="20" fillId="0" borderId="4" xfId="0" applyNumberFormat="1" applyFont="1" applyBorder="1" applyAlignment="1">
      <alignment horizontal="right" vertical="center" wrapText="1" indent="1"/>
    </xf>
    <xf numFmtId="0" fontId="2" fillId="5" borderId="5" xfId="0" applyNumberFormat="1" applyFont="1" applyFill="1" applyBorder="1" applyAlignment="1">
      <alignment horizontal="left" vertical="top" wrapText="1"/>
    </xf>
    <xf numFmtId="0" fontId="2" fillId="5" borderId="4" xfId="0" applyNumberFormat="1" applyFont="1" applyFill="1" applyBorder="1" applyAlignment="1">
      <alignment horizontal="left" vertical="top" wrapText="1"/>
    </xf>
    <xf numFmtId="49" fontId="2" fillId="27" borderId="0" xfId="0" applyNumberFormat="1" applyFont="1" applyFill="1" applyAlignment="1">
      <alignment horizontal="center" vertical="center" textRotation="90" wrapText="1"/>
    </xf>
    <xf numFmtId="49" fontId="2" fillId="0" borderId="0" xfId="0" applyNumberFormat="1" applyFont="1" applyAlignment="1">
      <alignment vertical="center" wrapText="1"/>
    </xf>
    <xf numFmtId="0" fontId="8" fillId="0" borderId="15"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indent="1"/>
    </xf>
    <xf numFmtId="0" fontId="2" fillId="5"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2" fillId="0" borderId="0" xfId="0" applyNumberFormat="1" applyFont="1" applyAlignment="1">
      <alignment horizontal="left" vertical="center" wrapText="1"/>
    </xf>
    <xf numFmtId="0" fontId="2" fillId="6" borderId="11" xfId="0" applyNumberFormat="1" applyFont="1" applyFill="1" applyBorder="1" applyAlignment="1">
      <alignment horizontal="center" vertical="center" wrapText="1"/>
    </xf>
    <xf numFmtId="0" fontId="2" fillId="6" borderId="20" xfId="0" applyNumberFormat="1" applyFont="1" applyFill="1" applyBorder="1" applyAlignment="1">
      <alignment horizontal="center" vertical="center" wrapText="1"/>
    </xf>
    <xf numFmtId="0" fontId="2" fillId="0" borderId="53" xfId="0" applyNumberFormat="1" applyFont="1" applyBorder="1" applyAlignment="1">
      <alignment horizontal="center" vertical="center"/>
    </xf>
    <xf numFmtId="0" fontId="2" fillId="0" borderId="54" xfId="0" applyNumberFormat="1" applyFont="1" applyBorder="1" applyAlignment="1">
      <alignment horizontal="center" vertical="center"/>
    </xf>
    <xf numFmtId="0" fontId="2" fillId="0" borderId="56" xfId="0" applyNumberFormat="1" applyFont="1" applyBorder="1" applyAlignment="1">
      <alignment horizontal="center" vertical="center"/>
    </xf>
    <xf numFmtId="0" fontId="2" fillId="0" borderId="66" xfId="0" applyNumberFormat="1" applyFont="1" applyBorder="1" applyAlignment="1">
      <alignment horizontal="center" vertical="center"/>
    </xf>
    <xf numFmtId="0" fontId="2"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5"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2" fillId="6" borderId="5" xfId="0" applyNumberFormat="1" applyFont="1" applyFill="1" applyBorder="1" applyAlignment="1">
      <alignment horizontal="center" vertical="center" wrapText="1"/>
    </xf>
    <xf numFmtId="0" fontId="2" fillId="6" borderId="4" xfId="0" applyNumberFormat="1" applyFont="1" applyFill="1" applyBorder="1" applyAlignment="1">
      <alignment horizontal="center" vertical="center" wrapText="1"/>
    </xf>
    <xf numFmtId="0" fontId="2" fillId="12" borderId="3" xfId="0" applyNumberFormat="1" applyFont="1" applyFill="1" applyBorder="1" applyAlignment="1">
      <alignment horizontal="center" vertical="center" wrapText="1"/>
    </xf>
    <xf numFmtId="0" fontId="2" fillId="12" borderId="5" xfId="0" applyNumberFormat="1" applyFont="1" applyFill="1" applyBorder="1" applyAlignment="1">
      <alignment horizontal="center" vertical="center" wrapText="1"/>
    </xf>
    <xf numFmtId="0" fontId="2" fillId="6" borderId="6" xfId="0" applyNumberFormat="1" applyFont="1" applyFill="1" applyBorder="1" applyAlignment="1">
      <alignment horizontal="center" vertical="center" wrapText="1"/>
    </xf>
    <xf numFmtId="49" fontId="2" fillId="22" borderId="5" xfId="0" applyNumberFormat="1" applyFont="1" applyFill="1" applyBorder="1" applyAlignment="1">
      <alignment horizontal="center" vertical="center" wrapText="1"/>
    </xf>
    <xf numFmtId="49" fontId="2" fillId="22" borderId="6" xfId="0" applyNumberFormat="1" applyFont="1" applyFill="1" applyBorder="1" applyAlignment="1">
      <alignment horizontal="center" vertical="center" wrapText="1"/>
    </xf>
    <xf numFmtId="49" fontId="2" fillId="12" borderId="10" xfId="0" applyNumberFormat="1" applyFont="1" applyFill="1" applyBorder="1" applyAlignment="1">
      <alignment horizontal="center" vertical="center" wrapText="1"/>
    </xf>
    <xf numFmtId="49" fontId="2" fillId="12" borderId="0" xfId="0" applyNumberFormat="1" applyFont="1" applyFill="1" applyAlignment="1">
      <alignment horizontal="center" vertical="center" wrapText="1"/>
    </xf>
    <xf numFmtId="49" fontId="2" fillId="12" borderId="18" xfId="0" applyNumberFormat="1" applyFont="1" applyFill="1" applyBorder="1" applyAlignment="1">
      <alignment horizontal="center" vertical="center" wrapText="1"/>
    </xf>
    <xf numFmtId="0" fontId="2" fillId="12" borderId="4" xfId="0" applyNumberFormat="1" applyFont="1" applyFill="1" applyBorder="1" applyAlignment="1">
      <alignment horizontal="center" vertical="center" wrapText="1"/>
    </xf>
    <xf numFmtId="0" fontId="2" fillId="20" borderId="5" xfId="0" applyNumberFormat="1" applyFont="1" applyFill="1" applyBorder="1" applyAlignment="1">
      <alignment horizontal="center" vertical="center" wrapText="1"/>
    </xf>
    <xf numFmtId="0" fontId="2" fillId="20" borderId="6" xfId="0" applyNumberFormat="1" applyFont="1" applyFill="1" applyBorder="1" applyAlignment="1">
      <alignment horizontal="center" vertical="center" wrapText="1"/>
    </xf>
    <xf numFmtId="0" fontId="2" fillId="20" borderId="4" xfId="0" applyNumberFormat="1" applyFont="1" applyFill="1" applyBorder="1" applyAlignment="1">
      <alignment horizontal="center" vertical="center" wrapText="1"/>
    </xf>
    <xf numFmtId="49" fontId="19" fillId="18" borderId="5" xfId="0" applyNumberFormat="1" applyFont="1" applyFill="1" applyBorder="1" applyAlignment="1">
      <alignment horizontal="center" vertical="center" wrapText="1"/>
    </xf>
    <xf numFmtId="49" fontId="19" fillId="18" borderId="6" xfId="0" applyNumberFormat="1" applyFont="1" applyFill="1" applyBorder="1" applyAlignment="1">
      <alignment horizontal="center" vertical="center" wrapText="1"/>
    </xf>
    <xf numFmtId="49" fontId="19" fillId="18" borderId="4" xfId="0" applyNumberFormat="1" applyFont="1" applyFill="1" applyBorder="1" applyAlignment="1">
      <alignment horizontal="center" vertical="center" wrapText="1"/>
    </xf>
    <xf numFmtId="49" fontId="19" fillId="21" borderId="5" xfId="0" applyNumberFormat="1" applyFont="1" applyFill="1" applyBorder="1" applyAlignment="1">
      <alignment horizontal="center" vertical="center" wrapText="1"/>
    </xf>
    <xf numFmtId="49" fontId="19" fillId="21" borderId="6" xfId="0" applyNumberFormat="1" applyFont="1" applyFill="1" applyBorder="1" applyAlignment="1">
      <alignment horizontal="center" vertical="center" wrapText="1"/>
    </xf>
    <xf numFmtId="49" fontId="19" fillId="21" borderId="4" xfId="0" applyNumberFormat="1" applyFont="1" applyFill="1" applyBorder="1" applyAlignment="1">
      <alignment horizontal="center" vertical="center" wrapText="1"/>
    </xf>
    <xf numFmtId="49" fontId="2" fillId="12" borderId="3" xfId="0" applyNumberFormat="1" applyFont="1" applyFill="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0" fontId="2" fillId="0" borderId="11" xfId="0" applyNumberFormat="1" applyFont="1" applyBorder="1" applyAlignment="1">
      <alignment horizontal="left" vertical="top" wrapText="1"/>
    </xf>
    <xf numFmtId="0" fontId="2" fillId="6" borderId="3" xfId="0" applyNumberFormat="1" applyFont="1" applyFill="1" applyBorder="1" applyAlignment="1">
      <alignment horizontal="center" vertical="center"/>
    </xf>
    <xf numFmtId="0" fontId="0" fillId="0" borderId="3" xfId="0" applyNumberFormat="1" applyFont="1" applyBorder="1" applyAlignment="1">
      <alignment horizontal="left" vertical="center" wrapText="1"/>
    </xf>
    <xf numFmtId="0" fontId="2" fillId="0" borderId="6" xfId="0" applyNumberFormat="1" applyFont="1" applyBorder="1" applyAlignment="1">
      <alignment horizontal="left" vertical="top" wrapText="1" indent="1"/>
    </xf>
    <xf numFmtId="0" fontId="11" fillId="6" borderId="0" xfId="0" applyNumberFormat="1" applyFont="1" applyFill="1" applyAlignment="1">
      <alignment horizontal="center" vertical="top" wrapText="1"/>
    </xf>
    <xf numFmtId="49" fontId="7" fillId="6"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5" borderId="5" xfId="0" applyNumberFormat="1" applyFont="1" applyFill="1" applyBorder="1" applyAlignment="1">
      <alignment horizontal="left" vertical="center" wrapText="1" indent="1"/>
    </xf>
    <xf numFmtId="0" fontId="11" fillId="6" borderId="15" xfId="0" applyNumberFormat="1" applyFont="1" applyFill="1" applyBorder="1" applyAlignment="1">
      <alignment horizontal="center" vertical="top" wrapText="1"/>
    </xf>
    <xf numFmtId="49" fontId="0" fillId="6" borderId="14" xfId="0" applyNumberFormat="1" applyFont="1" applyFill="1" applyBorder="1" applyAlignment="1">
      <alignment horizontal="center" vertical="center" wrapText="1"/>
    </xf>
    <xf numFmtId="0" fontId="0" fillId="5" borderId="14" xfId="0" applyNumberFormat="1" applyFont="1" applyFill="1" applyBorder="1" applyAlignment="1">
      <alignment horizontal="left" vertical="center" wrapText="1" indent="1"/>
    </xf>
    <xf numFmtId="49" fontId="2" fillId="0" borderId="0" xfId="0" applyNumberFormat="1" applyFont="1" applyAlignment="1">
      <alignment horizontal="left" vertical="top" wrapText="1"/>
    </xf>
    <xf numFmtId="0" fontId="2" fillId="0" borderId="4" xfId="0" applyNumberFormat="1" applyFont="1" applyBorder="1" applyAlignment="1">
      <alignment horizontal="left" vertical="center" wrapText="1" indent="1"/>
    </xf>
    <xf numFmtId="0" fontId="2" fillId="0" borderId="5" xfId="0" applyNumberFormat="1" applyFont="1" applyBorder="1" applyAlignment="1">
      <alignment horizontal="left" vertical="center" wrapText="1" indent="1"/>
    </xf>
    <xf numFmtId="0" fontId="0" fillId="6" borderId="8" xfId="0" applyNumberFormat="1" applyFont="1" applyFill="1" applyBorder="1" applyAlignment="1">
      <alignment horizontal="left" vertical="top" wrapText="1"/>
    </xf>
    <xf numFmtId="0" fontId="0" fillId="6" borderId="27" xfId="0" applyNumberFormat="1" applyFont="1" applyFill="1" applyBorder="1" applyAlignment="1">
      <alignment horizontal="left" vertical="top" wrapText="1"/>
    </xf>
    <xf numFmtId="0" fontId="0" fillId="6" borderId="14" xfId="0" applyNumberFormat="1" applyFont="1" applyFill="1" applyBorder="1" applyAlignment="1">
      <alignment horizontal="left" vertical="top" wrapText="1"/>
    </xf>
    <xf numFmtId="4" fontId="2" fillId="0" borderId="8" xfId="0" applyNumberFormat="1" applyFont="1" applyBorder="1" applyAlignment="1">
      <alignment horizontal="center" vertical="center" wrapText="1"/>
    </xf>
    <xf numFmtId="4" fontId="2" fillId="0" borderId="14" xfId="0" applyNumberFormat="1" applyFont="1" applyBorder="1" applyAlignment="1">
      <alignment horizontal="center" vertical="center" wrapText="1"/>
    </xf>
    <xf numFmtId="49" fontId="2" fillId="0" borderId="11" xfId="0" applyNumberFormat="1" applyFont="1" applyBorder="1" applyAlignment="1">
      <alignment horizontal="left" vertical="top" wrapText="1"/>
    </xf>
    <xf numFmtId="49" fontId="2" fillId="0" borderId="20" xfId="0" applyNumberFormat="1" applyFont="1" applyBorder="1" applyAlignment="1">
      <alignment horizontal="left" vertical="top" wrapText="1"/>
    </xf>
    <xf numFmtId="4" fontId="2" fillId="0" borderId="27" xfId="0" applyNumberFormat="1" applyFont="1" applyBorder="1" applyAlignment="1">
      <alignment horizontal="center" vertical="center" wrapText="1"/>
    </xf>
    <xf numFmtId="164" fontId="2" fillId="0" borderId="8" xfId="0" applyNumberFormat="1" applyFont="1" applyBorder="1" applyAlignment="1">
      <alignment horizontal="center" vertical="center" wrapText="1"/>
    </xf>
    <xf numFmtId="164" fontId="2" fillId="0" borderId="14" xfId="0" applyNumberFormat="1" applyFont="1" applyBorder="1" applyAlignment="1">
      <alignment horizontal="center" vertical="center" wrapText="1"/>
    </xf>
    <xf numFmtId="164" fontId="2" fillId="0" borderId="5" xfId="0" applyNumberFormat="1" applyFont="1" applyBorder="1" applyAlignment="1">
      <alignment horizontal="center" vertical="center" wrapText="1"/>
    </xf>
    <xf numFmtId="164" fontId="2" fillId="0" borderId="6" xfId="0" applyNumberFormat="1" applyFont="1" applyBorder="1" applyAlignment="1">
      <alignment horizontal="center" vertical="center" wrapText="1"/>
    </xf>
    <xf numFmtId="164" fontId="2" fillId="0" borderId="4" xfId="0" applyNumberFormat="1" applyFont="1" applyBorder="1" applyAlignment="1">
      <alignment horizontal="center" vertical="center" wrapText="1"/>
    </xf>
    <xf numFmtId="0" fontId="2" fillId="5" borderId="3" xfId="0" applyNumberFormat="1" applyFont="1" applyFill="1" applyBorder="1" applyAlignment="1">
      <alignment horizontal="left" vertical="center" wrapText="1"/>
    </xf>
    <xf numFmtId="14"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49" fontId="2" fillId="11" borderId="3" xfId="0" applyNumberFormat="1" applyFont="1" applyFill="1" applyBorder="1" applyAlignment="1">
      <alignment horizontal="left" vertical="center" wrapText="1"/>
    </xf>
    <xf numFmtId="0" fontId="2" fillId="5" borderId="14" xfId="0" applyNumberFormat="1" applyFont="1" applyFill="1" applyBorder="1" applyAlignment="1">
      <alignment horizontal="left" vertical="center" wrapText="1"/>
    </xf>
    <xf numFmtId="14" fontId="2" fillId="11" borderId="14" xfId="0" applyNumberFormat="1" applyFont="1" applyFill="1" applyBorder="1" applyAlignment="1">
      <alignment horizontal="left" vertical="center" wrapText="1"/>
    </xf>
    <xf numFmtId="164" fontId="2" fillId="0" borderId="3" xfId="0" applyNumberFormat="1" applyFont="1" applyBorder="1" applyAlignment="1">
      <alignment horizontal="center" vertical="center" wrapText="1"/>
    </xf>
    <xf numFmtId="164" fontId="17" fillId="0" borderId="48" xfId="0" applyNumberFormat="1" applyFont="1" applyBorder="1" applyAlignment="1">
      <alignment horizontal="center" vertical="center" wrapText="1"/>
    </xf>
    <xf numFmtId="164" fontId="17" fillId="0" borderId="42" xfId="0" applyNumberFormat="1" applyFont="1" applyBorder="1" applyAlignment="1">
      <alignment horizontal="center" vertical="center" wrapText="1"/>
    </xf>
    <xf numFmtId="164" fontId="17" fillId="0" borderId="67" xfId="0" applyNumberFormat="1" applyFont="1" applyBorder="1" applyAlignment="1">
      <alignment horizontal="center" vertical="center" wrapText="1"/>
    </xf>
    <xf numFmtId="49" fontId="2" fillId="11" borderId="21" xfId="0" applyNumberFormat="1" applyFont="1" applyFill="1" applyBorder="1" applyAlignment="1">
      <alignment horizontal="left" vertical="center" wrapText="1"/>
    </xf>
    <xf numFmtId="49" fontId="2" fillId="11" borderId="14" xfId="0" applyNumberFormat="1" applyFont="1" applyFill="1" applyBorder="1" applyAlignment="1">
      <alignment horizontal="left" vertical="center" wrapText="1"/>
    </xf>
    <xf numFmtId="49" fontId="0" fillId="0" borderId="6" xfId="0" applyNumberFormat="1" applyFont="1" applyBorder="1" applyAlignment="1">
      <alignment horizontal="left" vertical="center" indent="1"/>
    </xf>
    <xf numFmtId="49" fontId="2" fillId="0" borderId="3" xfId="0" applyNumberFormat="1" applyFont="1" applyBorder="1" applyAlignment="1">
      <alignment horizontal="center" vertical="top" wrapText="1"/>
    </xf>
    <xf numFmtId="0" fontId="0" fillId="5" borderId="3" xfId="0" applyNumberFormat="1" applyFont="1" applyFill="1" applyBorder="1" applyAlignment="1">
      <alignment horizontal="left" vertical="top" wrapText="1" indent="1"/>
    </xf>
    <xf numFmtId="49" fontId="2" fillId="11" borderId="8" xfId="0" applyNumberFormat="1" applyFont="1" applyFill="1" applyBorder="1" applyAlignment="1">
      <alignment horizontal="center" vertical="top" wrapText="1"/>
    </xf>
    <xf numFmtId="49" fontId="2" fillId="11" borderId="14" xfId="0" applyNumberFormat="1" applyFont="1" applyFill="1" applyBorder="1" applyAlignment="1">
      <alignment horizontal="center" vertical="top" wrapText="1"/>
    </xf>
    <xf numFmtId="167" fontId="0" fillId="10" borderId="3" xfId="0" applyNumberFormat="1" applyFont="1" applyFill="1" applyBorder="1" applyAlignment="1" applyProtection="1">
      <alignment horizontal="center" vertical="top" wrapText="1"/>
      <protection locked="0"/>
    </xf>
    <xf numFmtId="49" fontId="0" fillId="10" borderId="3" xfId="0" applyNumberFormat="1" applyFont="1" applyFill="1" applyBorder="1" applyAlignment="1" applyProtection="1">
      <alignment horizontal="center" vertical="top" wrapText="1"/>
      <protection locked="0"/>
    </xf>
    <xf numFmtId="167" fontId="0" fillId="7" borderId="3" xfId="0" applyNumberFormat="1" applyFont="1" applyFill="1" applyBorder="1" applyAlignment="1" applyProtection="1">
      <alignment horizontal="center" vertical="top" wrapText="1"/>
      <protection locked="0"/>
    </xf>
    <xf numFmtId="49" fontId="0" fillId="7" borderId="3" xfId="0" applyNumberFormat="1" applyFont="1" applyFill="1" applyBorder="1" applyAlignment="1" applyProtection="1">
      <alignment horizontal="center" vertical="top" wrapText="1"/>
      <protection locked="0"/>
    </xf>
    <xf numFmtId="49" fontId="2" fillId="11" borderId="3" xfId="0" applyNumberFormat="1" applyFont="1" applyFill="1" applyBorder="1" applyAlignment="1">
      <alignment horizontal="left" vertical="top" wrapText="1"/>
    </xf>
    <xf numFmtId="0" fontId="0" fillId="0" borderId="3" xfId="0" applyNumberFormat="1" applyFont="1" applyBorder="1" applyAlignment="1">
      <alignment horizontal="center" vertical="center"/>
    </xf>
    <xf numFmtId="49" fontId="2" fillId="10" borderId="3" xfId="0" applyNumberFormat="1" applyFont="1" applyFill="1" applyBorder="1" applyAlignment="1" applyProtection="1">
      <alignment horizontal="left" vertical="top" wrapText="1"/>
      <protection locked="0"/>
    </xf>
    <xf numFmtId="0" fontId="2" fillId="7" borderId="3" xfId="0" applyNumberFormat="1" applyFont="1" applyFill="1" applyBorder="1" applyAlignment="1" applyProtection="1">
      <alignment horizontal="left" vertical="top" wrapText="1"/>
      <protection locked="0"/>
    </xf>
    <xf numFmtId="49" fontId="0" fillId="10" borderId="3" xfId="0" applyNumberFormat="1" applyFont="1" applyFill="1" applyBorder="1" applyAlignment="1" applyProtection="1">
      <alignment horizontal="left" vertical="center" wrapText="1"/>
      <protection locked="0"/>
    </xf>
    <xf numFmtId="0" fontId="2" fillId="11" borderId="3" xfId="0" applyNumberFormat="1" applyFont="1" applyFill="1" applyBorder="1" applyAlignment="1">
      <alignment horizontal="left" vertical="top" wrapText="1"/>
    </xf>
    <xf numFmtId="49" fontId="0" fillId="11" borderId="3" xfId="0" applyNumberFormat="1" applyFont="1" applyFill="1" applyBorder="1" applyAlignment="1">
      <alignment horizontal="left" vertical="top"/>
    </xf>
    <xf numFmtId="49" fontId="2" fillId="0" borderId="8" xfId="0" applyNumberFormat="1" applyFont="1" applyBorder="1" applyAlignment="1">
      <alignment horizontal="center" vertical="center" wrapText="1"/>
    </xf>
    <xf numFmtId="49" fontId="2" fillId="0" borderId="27"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49" fontId="2" fillId="11" borderId="8" xfId="0" applyNumberFormat="1" applyFont="1" applyFill="1" applyBorder="1" applyAlignment="1">
      <alignment horizontal="left" vertical="center" wrapText="1" indent="1"/>
    </xf>
    <xf numFmtId="49" fontId="2" fillId="11" borderId="27" xfId="0" applyNumberFormat="1" applyFont="1" applyFill="1" applyBorder="1" applyAlignment="1">
      <alignment horizontal="left" vertical="center" wrapText="1" indent="1"/>
    </xf>
    <xf numFmtId="49" fontId="2" fillId="11" borderId="14" xfId="0" applyNumberFormat="1" applyFont="1" applyFill="1" applyBorder="1" applyAlignment="1">
      <alignment horizontal="left" vertical="center" wrapText="1" indent="1"/>
    </xf>
    <xf numFmtId="49" fontId="97" fillId="0" borderId="3" xfId="0" applyNumberFormat="1" applyFont="1" applyBorder="1" applyAlignment="1">
      <alignment horizontal="center" vertical="center" wrapText="1"/>
    </xf>
    <xf numFmtId="0" fontId="17" fillId="0" borderId="3" xfId="0" applyNumberFormat="1" applyFont="1" applyBorder="1" applyAlignment="1">
      <alignment horizontal="center" vertical="center"/>
    </xf>
    <xf numFmtId="0" fontId="0" fillId="10" borderId="3" xfId="0" applyNumberFormat="1" applyFont="1" applyFill="1" applyBorder="1" applyAlignment="1" applyProtection="1">
      <alignment horizontal="left" vertical="center" wrapText="1"/>
      <protection locked="0"/>
    </xf>
    <xf numFmtId="49" fontId="0" fillId="10" borderId="5" xfId="0" applyNumberFormat="1" applyFont="1" applyFill="1" applyBorder="1" applyAlignment="1" applyProtection="1">
      <alignment horizontal="left" vertical="center" wrapText="1"/>
      <protection locked="0"/>
    </xf>
    <xf numFmtId="49" fontId="8" fillId="0" borderId="8" xfId="0" applyNumberFormat="1" applyFont="1" applyBorder="1" applyAlignment="1">
      <alignment horizontal="center" vertical="top" wrapText="1"/>
    </xf>
    <xf numFmtId="49" fontId="2" fillId="0" borderId="27" xfId="0" applyNumberFormat="1" applyFont="1" applyBorder="1" applyAlignment="1">
      <alignment horizontal="center" vertical="top" wrapText="1"/>
    </xf>
    <xf numFmtId="49" fontId="2" fillId="0" borderId="14" xfId="0" applyNumberFormat="1" applyFont="1" applyBorder="1" applyAlignment="1">
      <alignment horizontal="center" vertical="top" wrapText="1"/>
    </xf>
    <xf numFmtId="49" fontId="2" fillId="10" borderId="5" xfId="0" applyNumberFormat="1" applyFont="1" applyFill="1" applyBorder="1" applyAlignment="1" applyProtection="1">
      <alignment horizontal="left" vertical="center" wrapText="1" indent="1"/>
      <protection locked="0"/>
    </xf>
    <xf numFmtId="49" fontId="2" fillId="10" borderId="3" xfId="0" applyNumberFormat="1" applyFont="1" applyFill="1" applyBorder="1" applyAlignment="1" applyProtection="1">
      <alignment horizontal="left" vertical="center" wrapText="1" indent="1"/>
      <protection locked="0"/>
    </xf>
    <xf numFmtId="0" fontId="0" fillId="11" borderId="3" xfId="0" applyNumberFormat="1" applyFont="1" applyFill="1" applyBorder="1" applyAlignment="1" applyProtection="1">
      <alignment horizontal="left" vertical="center" wrapText="1"/>
      <protection locked="0"/>
    </xf>
    <xf numFmtId="49" fontId="0" fillId="11"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top"/>
      <protection locked="0"/>
    </xf>
    <xf numFmtId="0" fontId="2" fillId="11" borderId="3" xfId="0" applyNumberFormat="1" applyFont="1" applyFill="1" applyBorder="1" applyAlignment="1">
      <alignment horizontal="center" vertical="center" wrapText="1"/>
    </xf>
    <xf numFmtId="14" fontId="54" fillId="0" borderId="8" xfId="0" applyNumberFormat="1" applyFont="1" applyBorder="1" applyAlignment="1">
      <alignment horizontal="center" vertical="center" wrapText="1"/>
    </xf>
    <xf numFmtId="14" fontId="54" fillId="0" borderId="27" xfId="0" applyNumberFormat="1" applyFont="1" applyBorder="1" applyAlignment="1">
      <alignment horizontal="center" vertical="center" wrapText="1"/>
    </xf>
    <xf numFmtId="0" fontId="48" fillId="0" borderId="3" xfId="0" applyNumberFormat="1" applyFont="1" applyBorder="1" applyAlignment="1">
      <alignment horizontal="left" vertical="center" wrapText="1" indent="1"/>
    </xf>
    <xf numFmtId="0" fontId="48" fillId="0" borderId="3" xfId="0" applyNumberFormat="1" applyFont="1" applyBorder="1" applyAlignment="1">
      <alignment horizontal="left" vertical="top" indent="1"/>
    </xf>
    <xf numFmtId="0" fontId="7" fillId="0" borderId="3"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indent="1"/>
    </xf>
    <xf numFmtId="49" fontId="2" fillId="11" borderId="3" xfId="0" applyNumberFormat="1" applyFont="1" applyFill="1" applyBorder="1" applyAlignment="1">
      <alignment horizontal="center" vertical="top" wrapText="1"/>
    </xf>
    <xf numFmtId="49" fontId="2" fillId="11" borderId="5" xfId="0" applyNumberFormat="1" applyFont="1" applyFill="1" applyBorder="1" applyAlignment="1">
      <alignment horizontal="center" vertical="top" wrapText="1"/>
    </xf>
    <xf numFmtId="49" fontId="0" fillId="5" borderId="3" xfId="0" applyNumberFormat="1" applyFont="1" applyFill="1" applyBorder="1" applyAlignment="1">
      <alignment horizontal="center" vertical="top" wrapText="1"/>
    </xf>
    <xf numFmtId="0" fontId="2" fillId="5" borderId="3" xfId="0" applyNumberFormat="1" applyFont="1" applyFill="1" applyBorder="1" applyAlignment="1">
      <alignment horizontal="center" vertical="top" wrapText="1"/>
    </xf>
    <xf numFmtId="49" fontId="2" fillId="11" borderId="5" xfId="0" applyNumberFormat="1" applyFont="1" applyFill="1" applyBorder="1" applyAlignment="1">
      <alignment horizontal="center" vertical="center" wrapText="1"/>
    </xf>
    <xf numFmtId="49" fontId="12" fillId="8" borderId="42" xfId="0" applyNumberFormat="1" applyFont="1" applyFill="1" applyBorder="1" applyAlignment="1">
      <alignment horizontal="left" vertical="center" indent="1"/>
    </xf>
    <xf numFmtId="49" fontId="2" fillId="5" borderId="3" xfId="0" applyNumberFormat="1" applyFont="1" applyFill="1" applyBorder="1" applyAlignment="1">
      <alignment horizontal="center" vertical="center" wrapText="1"/>
    </xf>
    <xf numFmtId="49" fontId="2" fillId="5" borderId="49" xfId="0" applyNumberFormat="1" applyFont="1" applyFill="1" applyBorder="1" applyAlignment="1">
      <alignment horizontal="center" vertical="center" wrapText="1"/>
    </xf>
    <xf numFmtId="3" fontId="2" fillId="10" borderId="3" xfId="0" applyNumberFormat="1" applyFont="1" applyFill="1" applyBorder="1" applyAlignment="1" applyProtection="1">
      <alignment horizontal="center" vertical="center" wrapText="1"/>
      <protection locked="0"/>
    </xf>
    <xf numFmtId="49" fontId="2" fillId="5" borderId="3" xfId="0" applyNumberFormat="1" applyFont="1" applyFill="1" applyBorder="1" applyAlignment="1">
      <alignment horizontal="left" vertical="center" wrapText="1"/>
    </xf>
    <xf numFmtId="49" fontId="2" fillId="11" borderId="4"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protection locked="0"/>
    </xf>
    <xf numFmtId="49" fontId="97" fillId="0" borderId="4" xfId="0" applyNumberFormat="1" applyFont="1" applyBorder="1" applyAlignment="1">
      <alignment horizontal="center" vertical="center" wrapText="1"/>
    </xf>
    <xf numFmtId="0" fontId="2" fillId="11" borderId="8" xfId="0" applyNumberFormat="1" applyFont="1" applyFill="1" applyBorder="1" applyAlignment="1">
      <alignment horizontal="left" vertical="center" wrapText="1"/>
    </xf>
    <xf numFmtId="0" fontId="2" fillId="11" borderId="27" xfId="0" applyNumberFormat="1" applyFont="1" applyFill="1" applyBorder="1" applyAlignment="1">
      <alignment horizontal="left" vertical="center" wrapText="1"/>
    </xf>
    <xf numFmtId="49" fontId="2" fillId="11" borderId="8" xfId="0" applyNumberFormat="1" applyFont="1" applyFill="1" applyBorder="1" applyAlignment="1">
      <alignment horizontal="left" vertical="center" wrapText="1"/>
    </xf>
    <xf numFmtId="49" fontId="2" fillId="0" borderId="27" xfId="0" applyNumberFormat="1" applyFont="1" applyBorder="1" applyAlignment="1">
      <alignment horizontal="center" vertical="center"/>
    </xf>
    <xf numFmtId="0" fontId="2" fillId="0" borderId="15" xfId="0" applyNumberFormat="1" applyFont="1" applyBorder="1" applyAlignment="1">
      <alignment horizontal="center" vertical="center"/>
    </xf>
    <xf numFmtId="49" fontId="2" fillId="7" borderId="8" xfId="0" applyNumberFormat="1" applyFont="1" applyFill="1" applyBorder="1" applyAlignment="1" applyProtection="1">
      <alignment horizontal="left" vertical="center" wrapText="1"/>
      <protection locked="0"/>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12" fillId="8" borderId="10" xfId="0" applyNumberFormat="1" applyFont="1" applyFill="1" applyBorder="1" applyAlignment="1">
      <alignment horizontal="left" vertical="center"/>
    </xf>
    <xf numFmtId="0" fontId="12" fillId="8" borderId="11" xfId="0" applyNumberFormat="1" applyFont="1" applyFill="1" applyBorder="1" applyAlignment="1">
      <alignment horizontal="left" vertical="center"/>
    </xf>
    <xf numFmtId="49" fontId="2" fillId="10" borderId="8" xfId="0" applyNumberFormat="1" applyFont="1" applyFill="1" applyBorder="1" applyAlignment="1" applyProtection="1">
      <alignment horizontal="left" vertical="center" wrapText="1"/>
      <protection locked="0"/>
    </xf>
    <xf numFmtId="49" fontId="69" fillId="0" borderId="3" xfId="0" applyNumberFormat="1" applyFont="1" applyBorder="1" applyAlignment="1">
      <alignment horizontal="center" vertical="top" wrapText="1"/>
    </xf>
    <xf numFmtId="0" fontId="69" fillId="12" borderId="3" xfId="0" applyNumberFormat="1" applyFont="1" applyFill="1" applyBorder="1" applyAlignment="1">
      <alignment horizontal="center" vertical="center" wrapText="1"/>
    </xf>
    <xf numFmtId="49" fontId="69" fillId="0" borderId="28" xfId="0" applyNumberFormat="1" applyFont="1" applyBorder="1" applyAlignment="1">
      <alignment horizontal="center" vertical="top" wrapText="1"/>
    </xf>
    <xf numFmtId="49" fontId="69" fillId="0" borderId="21" xfId="0" applyNumberFormat="1" applyFont="1" applyBorder="1" applyAlignment="1">
      <alignment horizontal="center" vertical="top" wrapText="1"/>
    </xf>
    <xf numFmtId="49" fontId="69" fillId="0" borderId="5" xfId="0" applyNumberFormat="1" applyFont="1" applyBorder="1" applyAlignment="1">
      <alignment horizontal="center" vertical="top" wrapText="1"/>
    </xf>
    <xf numFmtId="49" fontId="69" fillId="0" borderId="6" xfId="0" applyNumberFormat="1" applyFont="1" applyBorder="1" applyAlignment="1">
      <alignment horizontal="center" vertical="top" wrapText="1"/>
    </xf>
    <xf numFmtId="49" fontId="69" fillId="0" borderId="4" xfId="0" applyNumberFormat="1" applyFont="1" applyBorder="1" applyAlignment="1">
      <alignment horizontal="center" vertical="top" wrapText="1"/>
    </xf>
    <xf numFmtId="49" fontId="69" fillId="0" borderId="8" xfId="0" applyNumberFormat="1" applyFont="1" applyBorder="1" applyAlignment="1">
      <alignment horizontal="center" vertical="top" wrapText="1"/>
    </xf>
    <xf numFmtId="49" fontId="69" fillId="0" borderId="27" xfId="0" applyNumberFormat="1" applyFont="1" applyBorder="1" applyAlignment="1">
      <alignment horizontal="center" vertical="top" wrapText="1"/>
    </xf>
    <xf numFmtId="49" fontId="69" fillId="0" borderId="14" xfId="0" applyNumberFormat="1" applyFont="1" applyBorder="1" applyAlignment="1">
      <alignment horizontal="center" vertical="top" wrapText="1"/>
    </xf>
    <xf numFmtId="4" fontId="2" fillId="5" borderId="3" xfId="0" applyNumberFormat="1" applyFont="1" applyFill="1" applyBorder="1" applyAlignment="1">
      <alignment horizontal="left" vertical="center" wrapText="1"/>
    </xf>
    <xf numFmtId="0" fontId="2" fillId="11" borderId="3" xfId="0" applyNumberFormat="1" applyFont="1" applyFill="1" applyBorder="1" applyAlignment="1" applyProtection="1">
      <alignment horizontal="left" vertical="center" wrapText="1"/>
      <protection locked="0"/>
    </xf>
    <xf numFmtId="0" fontId="2" fillId="11" borderId="5" xfId="0" applyNumberFormat="1" applyFont="1" applyFill="1" applyBorder="1" applyAlignment="1" applyProtection="1">
      <alignment horizontal="left" vertical="center" wrapText="1"/>
      <protection locked="0"/>
    </xf>
    <xf numFmtId="0" fontId="2" fillId="11" borderId="6" xfId="0" applyNumberFormat="1" applyFont="1" applyFill="1" applyBorder="1" applyAlignment="1" applyProtection="1">
      <alignment horizontal="left" vertical="center" wrapText="1"/>
      <protection locked="0"/>
    </xf>
    <xf numFmtId="0" fontId="2" fillId="11" borderId="4" xfId="0" applyNumberFormat="1" applyFont="1" applyFill="1" applyBorder="1" applyAlignment="1" applyProtection="1">
      <alignment horizontal="left" vertical="center" wrapText="1"/>
      <protection locked="0"/>
    </xf>
    <xf numFmtId="0" fontId="2" fillId="0" borderId="0" xfId="0" applyNumberFormat="1" applyFont="1" applyAlignment="1">
      <alignment horizontal="right" vertical="center" wrapText="1"/>
    </xf>
    <xf numFmtId="0" fontId="18" fillId="0" borderId="10" xfId="0" applyNumberFormat="1" applyFont="1" applyBorder="1" applyAlignment="1">
      <alignment horizontal="left" vertical="center" wrapText="1" indent="1"/>
    </xf>
    <xf numFmtId="0" fontId="18" fillId="0" borderId="18" xfId="0" applyNumberFormat="1" applyFont="1" applyBorder="1" applyAlignment="1">
      <alignment horizontal="left" vertical="center" wrapText="1" indent="1"/>
    </xf>
    <xf numFmtId="0" fontId="7" fillId="6" borderId="0" xfId="0" applyNumberFormat="1" applyFont="1" applyFill="1" applyAlignment="1">
      <alignment horizontal="center" vertical="center" wrapText="1"/>
    </xf>
    <xf numFmtId="0" fontId="55" fillId="0" borderId="0" xfId="0" applyNumberFormat="1" applyFont="1" applyAlignment="1">
      <alignment horizontal="center" vertical="center" wrapText="1"/>
    </xf>
    <xf numFmtId="49" fontId="12" fillId="8" borderId="3" xfId="0" applyNumberFormat="1" applyFont="1" applyFill="1" applyBorder="1" applyAlignment="1">
      <alignment horizontal="center" vertical="center" textRotation="90" wrapText="1"/>
    </xf>
    <xf numFmtId="0" fontId="18" fillId="0" borderId="6" xfId="0" applyNumberFormat="1" applyFont="1" applyBorder="1" applyAlignment="1">
      <alignment horizontal="left" vertical="center" wrapText="1" indent="1"/>
    </xf>
    <xf numFmtId="0" fontId="2" fillId="5" borderId="5" xfId="0" applyNumberFormat="1" applyFont="1" applyFill="1" applyBorder="1" applyAlignment="1">
      <alignment horizontal="left" vertical="center" wrapText="1" indent="1"/>
    </xf>
    <xf numFmtId="0" fontId="2" fillId="5" borderId="6" xfId="0" applyNumberFormat="1" applyFont="1" applyFill="1" applyBorder="1" applyAlignment="1">
      <alignment horizontal="left" vertical="center" wrapText="1" indent="1"/>
    </xf>
    <xf numFmtId="0" fontId="2" fillId="5" borderId="4" xfId="0" applyNumberFormat="1" applyFont="1" applyFill="1" applyBorder="1" applyAlignment="1">
      <alignment horizontal="left" vertical="center" wrapText="1" indent="1"/>
    </xf>
    <xf numFmtId="49" fontId="0" fillId="0" borderId="3" xfId="0" applyNumberFormat="1" applyFont="1" applyBorder="1" applyAlignment="1">
      <alignment horizontal="center" vertical="top"/>
    </xf>
    <xf numFmtId="49" fontId="0" fillId="0" borderId="5" xfId="0" applyNumberFormat="1" applyFont="1" applyBorder="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calcChain" Target="calcChain.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2"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0</xdr:rowOff>
    </xdr:to>
    <xdr:pic>
      <xdr:nvPicPr>
        <xdr:cNvPr id="3"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4"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793" customWidth="1"/>
    <col min="2" max="2" width="9.140625" style="1793" customWidth="1"/>
    <col min="3" max="3" width="16.42578125" style="1793" customWidth="1"/>
    <col min="4" max="25" width="6.28515625" style="1793" customWidth="1"/>
    <col min="26" max="28" width="11" style="1793"/>
  </cols>
  <sheetData>
    <row r="1" spans="1:28" ht="15.75" customHeight="1">
      <c r="A1" s="1613"/>
      <c r="B1" s="1614"/>
      <c r="C1" s="1614"/>
      <c r="D1" s="1614"/>
      <c r="E1" s="1614"/>
      <c r="F1" s="1614"/>
      <c r="G1" s="1614"/>
      <c r="H1" s="1614"/>
      <c r="I1" s="1614"/>
      <c r="J1" s="1614"/>
      <c r="K1" s="1614"/>
      <c r="L1" s="1614"/>
      <c r="M1" s="1614"/>
      <c r="N1" s="1614"/>
      <c r="O1" s="1614"/>
      <c r="P1" s="1614"/>
      <c r="Q1" s="1614"/>
      <c r="R1" s="1614"/>
      <c r="S1" s="1614"/>
      <c r="T1" s="1614"/>
      <c r="U1" s="1614"/>
      <c r="V1" s="1614"/>
      <c r="W1" s="1614"/>
      <c r="X1" s="1614"/>
      <c r="Y1" s="1615"/>
      <c r="Z1" s="1614"/>
      <c r="AA1" s="1616" t="s">
        <v>0</v>
      </c>
      <c r="AB1" s="1614"/>
    </row>
    <row r="2" spans="1:28" ht="17.25" customHeight="1">
      <c r="A2" s="1614"/>
      <c r="B2" s="1992" t="s">
        <v>1</v>
      </c>
      <c r="C2" s="1992"/>
      <c r="D2" s="1992"/>
      <c r="E2" s="1992"/>
      <c r="F2" s="1992"/>
      <c r="G2" s="1992"/>
      <c r="H2" s="1992"/>
      <c r="I2" s="1992"/>
      <c r="J2" s="1992"/>
      <c r="K2" s="1992"/>
      <c r="L2" s="1992"/>
      <c r="M2" s="1992"/>
      <c r="N2" s="1992"/>
      <c r="O2" s="1992"/>
      <c r="P2" s="1992"/>
      <c r="Q2" s="1617"/>
      <c r="R2" s="1617"/>
      <c r="S2" s="1617"/>
      <c r="T2" s="1617"/>
      <c r="U2" s="1617"/>
      <c r="V2" s="1618"/>
      <c r="W2" s="1617"/>
      <c r="X2" s="1617"/>
      <c r="Y2" s="1615"/>
      <c r="Z2" s="1614"/>
      <c r="AA2" s="1616"/>
      <c r="AB2" s="1614"/>
    </row>
    <row r="3" spans="1:28" ht="15.75" customHeight="1">
      <c r="A3" s="1614"/>
      <c r="B3" s="1993" t="s">
        <v>2</v>
      </c>
      <c r="C3" s="1993"/>
      <c r="D3" s="1993"/>
      <c r="E3" s="1993"/>
      <c r="F3" s="1993"/>
      <c r="G3" s="1993"/>
      <c r="H3" s="1993"/>
      <c r="I3" s="1993"/>
      <c r="J3" s="1993"/>
      <c r="K3" s="1993"/>
      <c r="L3" s="1993"/>
      <c r="M3" s="1993"/>
      <c r="N3" s="1993"/>
      <c r="O3" s="1993"/>
      <c r="P3" s="1993"/>
      <c r="Q3" s="1618"/>
      <c r="R3" s="1618"/>
      <c r="S3" s="1617"/>
      <c r="T3" s="1617"/>
      <c r="U3" s="1617"/>
      <c r="V3" s="1618"/>
      <c r="W3" s="1618"/>
      <c r="X3" s="1618"/>
      <c r="Y3" s="1618"/>
      <c r="Z3" s="1614"/>
      <c r="AA3" s="1616"/>
      <c r="AB3" s="1614"/>
    </row>
    <row r="4" spans="1:28" ht="17.25" customHeight="1">
      <c r="A4" s="1614"/>
      <c r="B4" s="1619"/>
      <c r="C4" s="1614"/>
      <c r="D4" s="1618"/>
      <c r="E4" s="1618"/>
      <c r="F4" s="1618"/>
      <c r="G4" s="1618"/>
      <c r="H4" s="1618"/>
      <c r="I4" s="1618"/>
      <c r="J4" s="1618"/>
      <c r="K4" s="1618"/>
      <c r="L4" s="1618"/>
      <c r="M4" s="1618"/>
      <c r="N4" s="1618"/>
      <c r="O4" s="1618"/>
      <c r="P4" s="1618"/>
      <c r="Q4" s="1618"/>
      <c r="R4" s="1618"/>
      <c r="S4" s="1618"/>
      <c r="T4" s="1618"/>
      <c r="U4" s="1618"/>
      <c r="V4" s="1618"/>
      <c r="W4" s="1618"/>
      <c r="X4" s="1618"/>
      <c r="Y4" s="1618"/>
      <c r="Z4" s="1614"/>
      <c r="AA4" s="1616"/>
      <c r="AB4" s="1614"/>
    </row>
    <row r="5" spans="1:28" ht="22.5" customHeight="1">
      <c r="A5" s="1620"/>
      <c r="B5" s="1994"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C5" s="1995"/>
      <c r="D5" s="1995"/>
      <c r="E5" s="1995"/>
      <c r="F5" s="1995"/>
      <c r="G5" s="1995"/>
      <c r="H5" s="1995"/>
      <c r="I5" s="1995"/>
      <c r="J5" s="1995"/>
      <c r="K5" s="1995"/>
      <c r="L5" s="1995"/>
      <c r="M5" s="1995"/>
      <c r="N5" s="1995"/>
      <c r="O5" s="1995"/>
      <c r="P5" s="1995"/>
      <c r="Q5" s="1995"/>
      <c r="R5" s="1995"/>
      <c r="S5" s="1995"/>
      <c r="T5" s="1995"/>
      <c r="U5" s="1995"/>
      <c r="V5" s="1995"/>
      <c r="W5" s="1995"/>
      <c r="X5" s="1995"/>
      <c r="Y5" s="1996"/>
      <c r="Z5" s="1620"/>
      <c r="AA5" s="1616"/>
      <c r="AB5" s="1620"/>
    </row>
    <row r="6" spans="1:28" ht="15" customHeight="1">
      <c r="A6" s="1621"/>
      <c r="B6" s="1984" t="s">
        <v>3</v>
      </c>
      <c r="C6" s="1987"/>
      <c r="D6" s="1622"/>
      <c r="E6" s="1622"/>
      <c r="F6" s="1622"/>
      <c r="G6" s="1622"/>
      <c r="H6" s="1622"/>
      <c r="I6" s="1622"/>
      <c r="J6" s="1622"/>
      <c r="K6" s="1622"/>
      <c r="L6" s="1622"/>
      <c r="M6" s="1622"/>
      <c r="N6" s="1622"/>
      <c r="O6" s="1622"/>
      <c r="P6" s="1622"/>
      <c r="Q6" s="1622"/>
      <c r="R6" s="1622"/>
      <c r="S6" s="1622"/>
      <c r="T6" s="1622"/>
      <c r="U6" s="1622"/>
      <c r="V6" s="1622"/>
      <c r="W6" s="1622"/>
      <c r="X6" s="1622"/>
      <c r="Y6" s="1623"/>
      <c r="Z6" s="1624"/>
      <c r="AA6" s="1625"/>
      <c r="AB6" s="1625"/>
    </row>
    <row r="7" spans="1:28" ht="15" customHeight="1">
      <c r="A7" s="1621"/>
      <c r="B7" s="1984"/>
      <c r="C7" s="1987"/>
      <c r="D7" s="1622"/>
      <c r="E7" s="1622"/>
      <c r="F7" s="1626"/>
      <c r="G7" s="1626"/>
      <c r="H7" s="1626"/>
      <c r="I7" s="1626"/>
      <c r="J7" s="1626"/>
      <c r="K7" s="1626"/>
      <c r="L7" s="1626"/>
      <c r="M7" s="1626"/>
      <c r="N7" s="1626"/>
      <c r="O7" s="1622"/>
      <c r="P7" s="1626"/>
      <c r="Q7" s="1626"/>
      <c r="R7" s="1626"/>
      <c r="S7" s="1626"/>
      <c r="T7" s="1626"/>
      <c r="U7" s="1626"/>
      <c r="V7" s="1626"/>
      <c r="W7" s="1626"/>
      <c r="X7" s="1626"/>
      <c r="Y7" s="1623"/>
      <c r="Z7" s="1624"/>
      <c r="AA7" s="1625"/>
      <c r="AB7" s="1625"/>
    </row>
    <row r="8" spans="1:28" ht="15" customHeight="1">
      <c r="A8" s="1621"/>
      <c r="B8" s="1984"/>
      <c r="C8" s="1987"/>
      <c r="D8" s="1627"/>
      <c r="E8" s="1628" t="s">
        <v>4</v>
      </c>
      <c r="F8" s="1997" t="s">
        <v>5</v>
      </c>
      <c r="G8" s="1986"/>
      <c r="H8" s="1986"/>
      <c r="I8" s="1986"/>
      <c r="J8" s="1986"/>
      <c r="K8" s="1986"/>
      <c r="L8" s="1986"/>
      <c r="M8" s="1986"/>
      <c r="N8" s="1627"/>
      <c r="O8" s="1629" t="s">
        <v>4</v>
      </c>
      <c r="P8" s="1998" t="s">
        <v>6</v>
      </c>
      <c r="Q8" s="1999"/>
      <c r="R8" s="1999"/>
      <c r="S8" s="1999"/>
      <c r="T8" s="1999"/>
      <c r="U8" s="1999"/>
      <c r="V8" s="1999"/>
      <c r="W8" s="1999"/>
      <c r="X8" s="1999"/>
      <c r="Y8" s="1623"/>
      <c r="Z8" s="1624"/>
      <c r="AA8" s="1625"/>
      <c r="AB8" s="1625"/>
    </row>
    <row r="9" spans="1:28" ht="15" customHeight="1">
      <c r="A9" s="1621"/>
      <c r="B9" s="1984"/>
      <c r="C9" s="1987"/>
      <c r="D9" s="1627"/>
      <c r="E9" s="1630" t="s">
        <v>4</v>
      </c>
      <c r="F9" s="1997" t="s">
        <v>7</v>
      </c>
      <c r="G9" s="1986"/>
      <c r="H9" s="1986"/>
      <c r="I9" s="1986"/>
      <c r="J9" s="1986"/>
      <c r="K9" s="1986"/>
      <c r="L9" s="1986"/>
      <c r="M9" s="1986"/>
      <c r="N9" s="1627"/>
      <c r="O9" s="1631" t="s">
        <v>4</v>
      </c>
      <c r="P9" s="1998" t="s">
        <v>8</v>
      </c>
      <c r="Q9" s="1999"/>
      <c r="R9" s="1999"/>
      <c r="S9" s="1999"/>
      <c r="T9" s="1999"/>
      <c r="U9" s="1999"/>
      <c r="V9" s="1999"/>
      <c r="W9" s="1999"/>
      <c r="X9" s="1999"/>
      <c r="Y9" s="1623"/>
      <c r="Z9" s="1624"/>
      <c r="AA9" s="1625"/>
      <c r="AB9" s="1625"/>
    </row>
    <row r="10" spans="1:28" ht="30" customHeight="1">
      <c r="A10" s="1621"/>
      <c r="B10" s="1984"/>
      <c r="C10" s="1985"/>
      <c r="D10" s="1632"/>
      <c r="E10" s="1633"/>
      <c r="F10" s="1626"/>
      <c r="G10" s="1626"/>
      <c r="H10" s="1626"/>
      <c r="I10" s="1626"/>
      <c r="J10" s="1626"/>
      <c r="K10" s="1626"/>
      <c r="L10" s="1626"/>
      <c r="M10" s="1626"/>
      <c r="N10" s="1626"/>
      <c r="O10" s="1633"/>
      <c r="P10" s="1626"/>
      <c r="Q10" s="1626"/>
      <c r="R10" s="1626"/>
      <c r="S10" s="1626"/>
      <c r="T10" s="1626"/>
      <c r="U10" s="1626"/>
      <c r="V10" s="1626"/>
      <c r="W10" s="1626"/>
      <c r="X10" s="1626"/>
      <c r="Y10" s="1623"/>
      <c r="Z10" s="1624"/>
      <c r="AA10" s="1625"/>
      <c r="AB10" s="1625"/>
    </row>
    <row r="11" spans="1:28" ht="19.5" customHeight="1">
      <c r="A11" s="1621"/>
      <c r="B11" s="1982" t="s">
        <v>9</v>
      </c>
      <c r="C11" s="1983"/>
      <c r="D11" s="1627"/>
      <c r="E11" s="1634"/>
      <c r="F11" s="1634"/>
      <c r="G11" s="1634"/>
      <c r="H11" s="1634"/>
      <c r="I11" s="1634"/>
      <c r="J11" s="1634"/>
      <c r="K11" s="1634"/>
      <c r="L11" s="1634"/>
      <c r="M11" s="1634"/>
      <c r="N11" s="1634"/>
      <c r="O11" s="1634"/>
      <c r="P11" s="1634"/>
      <c r="Q11" s="1634"/>
      <c r="R11" s="1634"/>
      <c r="S11" s="1634"/>
      <c r="T11" s="1634"/>
      <c r="U11" s="1634"/>
      <c r="V11" s="1634"/>
      <c r="W11" s="1634"/>
      <c r="X11" s="1634"/>
      <c r="Y11" s="1623"/>
      <c r="Z11" s="1624"/>
      <c r="AA11" s="1625"/>
      <c r="AB11" s="1625"/>
    </row>
    <row r="12" spans="1:28" ht="69" customHeight="1">
      <c r="A12" s="1621"/>
      <c r="B12" s="1984"/>
      <c r="C12" s="1985"/>
      <c r="D12" s="1635"/>
      <c r="E12" s="1986" t="s">
        <v>10</v>
      </c>
      <c r="F12" s="1986"/>
      <c r="G12" s="1986"/>
      <c r="H12" s="1986"/>
      <c r="I12" s="1986"/>
      <c r="J12" s="1986"/>
      <c r="K12" s="1986"/>
      <c r="L12" s="1986"/>
      <c r="M12" s="1986"/>
      <c r="N12" s="1986"/>
      <c r="O12" s="1986"/>
      <c r="P12" s="1986"/>
      <c r="Q12" s="1986"/>
      <c r="R12" s="1986"/>
      <c r="S12" s="1986"/>
      <c r="T12" s="1986"/>
      <c r="U12" s="1986"/>
      <c r="V12" s="1986"/>
      <c r="W12" s="1986"/>
      <c r="X12" s="1986"/>
      <c r="Y12" s="1623"/>
      <c r="Z12" s="1624"/>
      <c r="AA12" s="1625"/>
      <c r="AB12" s="1625"/>
    </row>
    <row r="13" spans="1:28" ht="15" customHeight="1">
      <c r="A13" s="1621"/>
      <c r="B13" s="1982" t="s">
        <v>11</v>
      </c>
      <c r="C13" s="1983"/>
      <c r="D13" s="1622"/>
      <c r="E13" s="1634"/>
      <c r="F13" s="1634"/>
      <c r="G13" s="1634"/>
      <c r="H13" s="1634"/>
      <c r="I13" s="1634"/>
      <c r="J13" s="1634"/>
      <c r="K13" s="1634"/>
      <c r="L13" s="1634"/>
      <c r="M13" s="1634"/>
      <c r="N13" s="1634"/>
      <c r="O13" s="1634"/>
      <c r="P13" s="1634"/>
      <c r="Q13" s="1634"/>
      <c r="R13" s="1634"/>
      <c r="S13" s="1634"/>
      <c r="T13" s="1634"/>
      <c r="U13" s="1634"/>
      <c r="V13" s="1634"/>
      <c r="W13" s="1634"/>
      <c r="X13" s="1634"/>
      <c r="Y13" s="1623"/>
      <c r="Z13" s="1624"/>
      <c r="AA13" s="1625"/>
      <c r="AB13" s="1625"/>
    </row>
    <row r="14" spans="1:28" ht="57" customHeight="1">
      <c r="A14" s="1621"/>
      <c r="B14" s="1984"/>
      <c r="C14" s="1987"/>
      <c r="D14" s="1627"/>
      <c r="E14" s="1990" t="s">
        <v>12</v>
      </c>
      <c r="F14" s="1990"/>
      <c r="G14" s="1990"/>
      <c r="H14" s="1990"/>
      <c r="I14" s="1990"/>
      <c r="J14" s="1990"/>
      <c r="K14" s="1990"/>
      <c r="L14" s="1990"/>
      <c r="M14" s="1990"/>
      <c r="N14" s="1990"/>
      <c r="O14" s="1990"/>
      <c r="P14" s="1990"/>
      <c r="Q14" s="1990"/>
      <c r="R14" s="1990"/>
      <c r="S14" s="1990"/>
      <c r="T14" s="1990"/>
      <c r="U14" s="1990"/>
      <c r="V14" s="1990"/>
      <c r="W14" s="1990"/>
      <c r="X14" s="1990"/>
      <c r="Y14" s="1623"/>
      <c r="Z14" s="1624"/>
      <c r="AA14" s="1625"/>
      <c r="AB14" s="1625"/>
    </row>
    <row r="15" spans="1:28" ht="16.5" customHeight="1">
      <c r="A15" s="1621"/>
      <c r="B15" s="1988"/>
      <c r="C15" s="1989"/>
      <c r="D15" s="1636"/>
      <c r="E15" s="1637"/>
      <c r="F15" s="1637"/>
      <c r="G15" s="1637"/>
      <c r="H15" s="1637"/>
      <c r="I15" s="1637"/>
      <c r="J15" s="1637"/>
      <c r="K15" s="1637"/>
      <c r="L15" s="1637"/>
      <c r="M15" s="1637"/>
      <c r="N15" s="1637"/>
      <c r="O15" s="1637"/>
      <c r="P15" s="1637"/>
      <c r="Q15" s="1637"/>
      <c r="R15" s="1637"/>
      <c r="S15" s="1637"/>
      <c r="T15" s="1637"/>
      <c r="U15" s="1637"/>
      <c r="V15" s="1637"/>
      <c r="W15" s="1637"/>
      <c r="X15" s="1637"/>
      <c r="Y15" s="1638"/>
      <c r="Z15" s="1624"/>
      <c r="AA15" s="1639"/>
      <c r="AB15" s="1625"/>
    </row>
    <row r="16" spans="1:28" ht="95.25" customHeight="1">
      <c r="A16" s="1614"/>
      <c r="B16" s="1990"/>
      <c r="C16" s="1991"/>
      <c r="D16" s="1991"/>
      <c r="E16" s="1991"/>
      <c r="F16" s="1991"/>
      <c r="G16" s="1991"/>
      <c r="H16" s="1991"/>
      <c r="I16" s="1991"/>
      <c r="J16" s="1991"/>
      <c r="K16" s="1991"/>
      <c r="L16" s="1991"/>
      <c r="M16" s="1991"/>
      <c r="N16" s="1991"/>
      <c r="O16" s="1991"/>
      <c r="P16" s="1991"/>
      <c r="Q16" s="1991"/>
      <c r="R16" s="1991"/>
      <c r="S16" s="1991"/>
      <c r="T16" s="1991"/>
      <c r="U16" s="1991"/>
      <c r="V16" s="1991"/>
      <c r="W16" s="1991"/>
      <c r="X16" s="1991"/>
      <c r="Y16" s="1991"/>
      <c r="Z16" s="1614"/>
      <c r="AA16" s="1616"/>
      <c r="AB16" s="1614"/>
    </row>
    <row r="17" spans="1:28" ht="14.25" customHeight="1">
      <c r="A17" s="1614"/>
      <c r="B17" s="1614"/>
      <c r="C17" s="1614"/>
      <c r="D17" s="1614"/>
      <c r="E17" s="1614"/>
      <c r="F17" s="1614"/>
      <c r="G17" s="1614"/>
      <c r="H17" s="1614"/>
      <c r="I17" s="1614"/>
      <c r="J17" s="1614"/>
      <c r="K17" s="1614"/>
      <c r="L17" s="1614"/>
      <c r="M17" s="1614"/>
      <c r="N17" s="1614"/>
      <c r="O17" s="1614"/>
      <c r="P17" s="1614"/>
      <c r="Q17" s="1614"/>
      <c r="R17" s="1614"/>
      <c r="S17" s="1614"/>
      <c r="T17" s="1614"/>
      <c r="U17" s="1614"/>
      <c r="V17" s="1614"/>
      <c r="W17" s="1614"/>
      <c r="X17" s="1614"/>
      <c r="Y17" s="1615"/>
      <c r="Z17" s="1614"/>
      <c r="AA17" s="1616"/>
      <c r="AB17" s="1614"/>
    </row>
    <row r="18" spans="1:28" ht="14.25" customHeight="1">
      <c r="A18" s="1614"/>
      <c r="B18" s="1614"/>
      <c r="C18" s="1614"/>
      <c r="D18" s="1614"/>
      <c r="E18" s="1614"/>
      <c r="F18" s="1614"/>
      <c r="G18" s="1614"/>
      <c r="H18" s="1614"/>
      <c r="I18" s="1614"/>
      <c r="J18" s="1614"/>
      <c r="K18" s="1614"/>
      <c r="L18" s="1614"/>
      <c r="M18" s="1614"/>
      <c r="N18" s="1614"/>
      <c r="O18" s="1614"/>
      <c r="P18" s="1614"/>
      <c r="Q18" s="1614"/>
      <c r="R18" s="1614"/>
      <c r="S18" s="1614"/>
      <c r="T18" s="1614"/>
      <c r="U18" s="1614"/>
      <c r="V18" s="1614"/>
      <c r="W18" s="1614"/>
      <c r="X18" s="1614"/>
      <c r="Y18" s="1615"/>
      <c r="Z18" s="1614"/>
      <c r="AA18" s="1616"/>
      <c r="AB18" s="1614"/>
    </row>
    <row r="19" spans="1:28" ht="14.25" customHeight="1">
      <c r="A19" s="1614"/>
      <c r="B19" s="1614"/>
      <c r="C19" s="1614"/>
      <c r="D19" s="1614"/>
      <c r="E19" s="1614"/>
      <c r="F19" s="1614"/>
      <c r="G19" s="1614"/>
      <c r="H19" s="1614"/>
      <c r="I19" s="1614"/>
      <c r="J19" s="1614"/>
      <c r="K19" s="1614"/>
      <c r="L19" s="1614"/>
      <c r="M19" s="1614"/>
      <c r="N19" s="1614"/>
      <c r="O19" s="1614"/>
      <c r="P19" s="1614"/>
      <c r="Q19" s="1614"/>
      <c r="R19" s="1614"/>
      <c r="S19" s="1614"/>
      <c r="T19" s="1614"/>
      <c r="U19" s="1614"/>
      <c r="V19" s="1614"/>
      <c r="W19" s="1614"/>
      <c r="X19" s="1614"/>
      <c r="Y19" s="1615"/>
      <c r="Z19" s="1614"/>
      <c r="AA19" s="1616"/>
      <c r="AB19" s="1614"/>
    </row>
    <row r="20" spans="1:28" ht="14.25" customHeight="1">
      <c r="A20" s="1614"/>
      <c r="B20" s="1614"/>
      <c r="C20" s="1614"/>
      <c r="D20" s="1614"/>
      <c r="E20" s="1614"/>
      <c r="F20" s="1614"/>
      <c r="G20" s="1614"/>
      <c r="H20" s="1614"/>
      <c r="I20" s="1614"/>
      <c r="J20" s="1614"/>
      <c r="K20" s="1614"/>
      <c r="L20" s="1614"/>
      <c r="M20" s="1614"/>
      <c r="N20" s="1614"/>
      <c r="O20" s="1614"/>
      <c r="P20" s="1614"/>
      <c r="Q20" s="1614"/>
      <c r="R20" s="1614"/>
      <c r="S20" s="1614"/>
      <c r="T20" s="1614"/>
      <c r="U20" s="1614"/>
      <c r="V20" s="1614"/>
      <c r="W20" s="1614"/>
      <c r="X20" s="1614"/>
      <c r="Y20" s="1615"/>
      <c r="Z20" s="1614"/>
      <c r="AA20" s="1616"/>
      <c r="AB20" s="1614"/>
    </row>
    <row r="21" spans="1:28" ht="14.25" customHeight="1">
      <c r="A21" s="1614"/>
      <c r="B21" s="1614"/>
      <c r="C21" s="1614"/>
      <c r="D21" s="1614"/>
      <c r="E21" s="1614"/>
      <c r="F21" s="1614"/>
      <c r="G21" s="1614"/>
      <c r="H21" s="1614"/>
      <c r="I21" s="1614"/>
      <c r="J21" s="1614"/>
      <c r="K21" s="1614"/>
      <c r="L21" s="1614"/>
      <c r="M21" s="1614"/>
      <c r="N21" s="1614"/>
      <c r="O21" s="1614"/>
      <c r="P21" s="1614"/>
      <c r="Q21" s="1614"/>
      <c r="R21" s="1614"/>
      <c r="S21" s="1614"/>
      <c r="T21" s="1614"/>
      <c r="U21" s="1614"/>
      <c r="V21" s="1614"/>
      <c r="W21" s="1614"/>
      <c r="X21" s="1614"/>
      <c r="Y21" s="1615"/>
      <c r="Z21" s="1614"/>
      <c r="AA21" s="1616"/>
      <c r="AB21" s="1614"/>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P78"/>
  <sheetViews>
    <sheetView showGridLines="0" tabSelected="1" topLeftCell="C1" zoomScale="90" workbookViewId="0">
      <selection activeCell="L37" sqref="L37"/>
    </sheetView>
  </sheetViews>
  <sheetFormatPr defaultColWidth="9.140625" defaultRowHeight="11.25" customHeight="1"/>
  <cols>
    <col min="1" max="1" width="10.7109375" style="1800" hidden="1" customWidth="1"/>
    <col min="2" max="2" width="10.7109375" style="1797" hidden="1" customWidth="1"/>
    <col min="3" max="3" width="3.7109375" style="1807" customWidth="1"/>
    <col min="4" max="4" width="1.7109375" style="1808" customWidth="1"/>
    <col min="5" max="5" width="55.28515625" style="1808" customWidth="1"/>
    <col min="6" max="6" width="50.7109375" style="1808" customWidth="1"/>
    <col min="7" max="7" width="1.7109375" style="1801" customWidth="1"/>
    <col min="8" max="8" width="18" style="1802" hidden="1" customWidth="1"/>
    <col min="9" max="9" width="9.5703125" style="1795" customWidth="1"/>
    <col min="10" max="10" width="52.140625" style="1803" hidden="1" customWidth="1"/>
    <col min="11" max="11" width="9.140625" style="1808"/>
    <col min="12" max="12" width="78" style="1808" customWidth="1"/>
    <col min="13" max="16" width="9.140625" style="1808"/>
  </cols>
  <sheetData>
    <row r="1" spans="1:11" s="1794" customFormat="1" ht="3" customHeight="1">
      <c r="A1" s="701"/>
      <c r="B1" s="159"/>
      <c r="F1" s="160">
        <v>26354809</v>
      </c>
      <c r="G1" s="344"/>
      <c r="H1" s="7"/>
      <c r="I1" s="344"/>
      <c r="J1" s="785"/>
    </row>
    <row r="2" spans="1:11" s="1796" customFormat="1" ht="14.25" customHeight="1">
      <c r="A2" s="701"/>
      <c r="B2" s="31"/>
      <c r="E2" s="1652" t="str">
        <f>code</f>
        <v>Код отчёта: PP108.OPEN.INFO.QUARTER.VOTV.EIAS</v>
      </c>
      <c r="F2" s="187"/>
      <c r="G2" s="163"/>
      <c r="H2" s="163"/>
      <c r="I2" s="163"/>
      <c r="J2" s="786"/>
      <c r="K2" s="163"/>
    </row>
    <row r="3" spans="1:11" ht="14.25" customHeight="1">
      <c r="E3" s="164" t="str">
        <f>version</f>
        <v>Версия отчёта: 1.0.4</v>
      </c>
      <c r="F3" s="187"/>
      <c r="G3" s="688"/>
      <c r="H3" s="688"/>
      <c r="I3" s="688"/>
      <c r="J3" s="787"/>
      <c r="K3" s="22"/>
    </row>
    <row r="4" spans="1:11" s="1799" customFormat="1" ht="6" customHeight="1">
      <c r="A4" s="702"/>
      <c r="B4" s="151"/>
      <c r="C4" s="152"/>
      <c r="D4" s="153"/>
      <c r="E4" s="161"/>
      <c r="F4" s="162"/>
      <c r="G4" s="689"/>
      <c r="H4" s="342"/>
      <c r="I4" s="344"/>
      <c r="J4" s="788"/>
    </row>
    <row r="5" spans="1:11" ht="37.5" customHeight="1">
      <c r="D5" s="9"/>
      <c r="E5" s="2000"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F5" s="2001"/>
      <c r="G5" s="690"/>
      <c r="J5" s="789"/>
    </row>
    <row r="6" spans="1:11" s="1799" customFormat="1" ht="6" customHeight="1">
      <c r="A6" s="702"/>
      <c r="B6" s="151"/>
      <c r="C6" s="152"/>
      <c r="D6" s="153"/>
      <c r="E6" s="155"/>
      <c r="F6" s="156"/>
      <c r="G6" s="690"/>
      <c r="H6" s="342"/>
      <c r="I6" s="344"/>
      <c r="J6" s="788"/>
    </row>
    <row r="7" spans="1:11" ht="19.5" customHeight="1">
      <c r="D7" s="9"/>
      <c r="E7" s="324" t="s">
        <v>13</v>
      </c>
      <c r="F7" s="136" t="s">
        <v>14</v>
      </c>
      <c r="G7" s="690"/>
    </row>
    <row r="8" spans="1:11" s="1799" customFormat="1" ht="6" customHeight="1">
      <c r="A8" s="703"/>
      <c r="B8" s="151"/>
      <c r="C8" s="152"/>
      <c r="D8" s="157"/>
      <c r="E8" s="155"/>
      <c r="F8" s="158"/>
      <c r="G8" s="11"/>
      <c r="H8" s="342"/>
      <c r="I8" s="344"/>
      <c r="J8" s="791"/>
    </row>
    <row r="9" spans="1:11" s="1802" customFormat="1" ht="19.5" hidden="1" customHeight="1">
      <c r="A9" s="702"/>
      <c r="B9" s="31"/>
      <c r="C9" s="341"/>
      <c r="D9" s="343"/>
      <c r="E9" s="1067" t="s">
        <v>15</v>
      </c>
      <c r="F9" s="1053"/>
      <c r="G9" s="690"/>
      <c r="I9" s="344"/>
      <c r="J9" s="790"/>
    </row>
    <row r="10" spans="1:11" s="1804" customFormat="1" ht="6" customHeight="1">
      <c r="A10" s="703"/>
      <c r="B10" s="358"/>
      <c r="C10" s="359"/>
      <c r="D10" s="157"/>
      <c r="E10" s="155"/>
      <c r="F10" s="158"/>
      <c r="G10" s="11"/>
      <c r="H10" s="342"/>
      <c r="I10" s="344"/>
      <c r="J10" s="791"/>
    </row>
    <row r="11" spans="1:11" ht="22.5" hidden="1" customHeight="1">
      <c r="A11" s="2003" t="s">
        <v>16</v>
      </c>
      <c r="D11" s="9"/>
      <c r="E11" s="1067" t="s">
        <v>17</v>
      </c>
      <c r="F11" s="1644" t="s">
        <v>18</v>
      </c>
      <c r="G11" s="11"/>
      <c r="H11" s="691" t="s">
        <v>19</v>
      </c>
      <c r="J11" s="790" t="s">
        <v>20</v>
      </c>
    </row>
    <row r="12" spans="1:11" ht="22.5" hidden="1" customHeight="1">
      <c r="A12" s="2003"/>
      <c r="D12" s="9"/>
      <c r="E12" s="1067" t="s">
        <v>21</v>
      </c>
      <c r="F12" s="1644"/>
      <c r="G12" s="8"/>
      <c r="J12" s="790" t="s">
        <v>22</v>
      </c>
    </row>
    <row r="13" spans="1:11" s="1802" customFormat="1" ht="22.5" hidden="1" customHeight="1">
      <c r="A13" s="706" t="s">
        <v>23</v>
      </c>
      <c r="B13" s="31"/>
      <c r="C13" s="341"/>
      <c r="D13" s="343"/>
      <c r="E13" s="1687" t="s">
        <v>24</v>
      </c>
      <c r="F13" s="1644" t="s">
        <v>18</v>
      </c>
      <c r="G13" s="11"/>
      <c r="H13" s="688"/>
      <c r="I13" s="344"/>
      <c r="J13" s="1688" t="s">
        <v>25</v>
      </c>
    </row>
    <row r="14" spans="1:11" s="1802" customFormat="1" ht="27" customHeight="1">
      <c r="A14" s="706" t="s">
        <v>26</v>
      </c>
      <c r="B14" s="31"/>
      <c r="C14" s="341"/>
      <c r="D14" s="343"/>
      <c r="E14" s="1067" t="s">
        <v>27</v>
      </c>
      <c r="F14" s="1679">
        <v>2024</v>
      </c>
      <c r="G14" s="11"/>
      <c r="H14" s="688"/>
      <c r="I14" s="344"/>
      <c r="J14" s="790" t="s">
        <v>28</v>
      </c>
    </row>
    <row r="15" spans="1:11" s="1802" customFormat="1" ht="19.5" customHeight="1">
      <c r="A15" s="706" t="s">
        <v>29</v>
      </c>
      <c r="B15" s="31"/>
      <c r="C15" s="341"/>
      <c r="D15" s="343"/>
      <c r="E15" s="1067" t="s">
        <v>30</v>
      </c>
      <c r="F15" s="1679" t="s">
        <v>1207</v>
      </c>
      <c r="G15" s="11"/>
      <c r="H15" s="688"/>
      <c r="I15" s="344"/>
      <c r="J15" s="790" t="s">
        <v>31</v>
      </c>
    </row>
    <row r="16" spans="1:11" s="1799" customFormat="1" ht="6" customHeight="1">
      <c r="A16" s="703"/>
      <c r="B16" s="151"/>
      <c r="C16" s="152"/>
      <c r="D16" s="157"/>
      <c r="E16" s="155"/>
      <c r="F16" s="158"/>
      <c r="G16" s="11"/>
      <c r="H16" s="342"/>
      <c r="I16" s="344"/>
      <c r="J16" s="788"/>
    </row>
    <row r="17" spans="1:10" ht="19.5" customHeight="1">
      <c r="D17" s="9"/>
      <c r="E17" s="324" t="s">
        <v>32</v>
      </c>
      <c r="F17" s="137" t="s">
        <v>33</v>
      </c>
      <c r="G17" s="8"/>
      <c r="H17" s="691" t="s">
        <v>19</v>
      </c>
    </row>
    <row r="18" spans="1:10" ht="25.5" hidden="1" customHeight="1">
      <c r="D18" s="9"/>
      <c r="E18" s="1687" t="s">
        <v>34</v>
      </c>
      <c r="F18" s="1645"/>
      <c r="G18" s="8"/>
      <c r="I18" s="692"/>
      <c r="J18" s="2002" t="s">
        <v>35</v>
      </c>
    </row>
    <row r="19" spans="1:10" ht="25.5" hidden="1" customHeight="1">
      <c r="D19" s="9"/>
      <c r="E19" s="10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45"/>
      <c r="G19" s="8"/>
      <c r="I19" s="692"/>
      <c r="J19" s="2002"/>
    </row>
    <row r="20" spans="1:10" ht="22.5" hidden="1" customHeight="1">
      <c r="D20" s="9"/>
      <c r="E20" s="10"/>
      <c r="F20" s="188" t="str">
        <f>"Первичное "&amp;IF(TEMPLATE_GROUP="P","установление тарифов","предложение по тарифам")</f>
        <v>Первичное предложение по тарифам</v>
      </c>
      <c r="G20" s="8"/>
      <c r="I20" s="327"/>
      <c r="J20" s="789" t="s">
        <v>36</v>
      </c>
    </row>
    <row r="21" spans="1:10" ht="19.5" hidden="1" customHeight="1">
      <c r="D21" s="9"/>
      <c r="E21" s="324" t="str">
        <f>"Дата "&amp;IF(TEMPLATE_GROUP="P","документа","подачи заявления")&amp;" об утверждении тарифов"</f>
        <v>Дата подачи заявления об утверждении тарифов</v>
      </c>
      <c r="F21" s="1644"/>
      <c r="G21" s="8"/>
      <c r="I21" s="693"/>
    </row>
    <row r="22" spans="1:10" ht="19.5" hidden="1" customHeight="1">
      <c r="D22" s="9"/>
      <c r="E22" s="324" t="str">
        <f>"Номер "&amp;IF(TEMPLATE_GROUP="P","документа","подачи заявления")&amp;" об утверждении тарифов"</f>
        <v>Номер подачи заявления об утверждении тарифов</v>
      </c>
      <c r="F22" s="137"/>
      <c r="G22" s="8"/>
      <c r="I22" s="693"/>
    </row>
    <row r="23" spans="1:10" ht="22.5" hidden="1" customHeight="1">
      <c r="D23" s="9"/>
      <c r="E23" s="324" t="s">
        <v>37</v>
      </c>
      <c r="F23" s="137"/>
      <c r="G23" s="8"/>
    </row>
    <row r="24" spans="1:10" ht="19.5" hidden="1" customHeight="1">
      <c r="D24" s="9"/>
      <c r="E24" s="324" t="s">
        <v>38</v>
      </c>
      <c r="F24" s="137"/>
      <c r="G24" s="8"/>
    </row>
    <row r="25" spans="1:10" ht="22.5" hidden="1" customHeight="1">
      <c r="D25" s="9"/>
      <c r="E25" s="10"/>
      <c r="F25" s="188" t="str">
        <f>"Изменение "&amp;IF(TEMPLATE_GROUP="P","тарифов","предложения по тарифам")</f>
        <v>Изменение предложения по тарифам</v>
      </c>
      <c r="G25" s="8"/>
      <c r="J25" s="789" t="s">
        <v>39</v>
      </c>
    </row>
    <row r="26" spans="1:10" ht="19.5" hidden="1" customHeight="1">
      <c r="D26" s="9"/>
      <c r="E26" s="324" t="str">
        <f>"Дата "&amp;IF(TEMPLATE_GROUP="P","принятия решения","подачи заявления")&amp;" об изменении тарифов"</f>
        <v>Дата подачи заявления об изменении тарифов</v>
      </c>
      <c r="F26" s="1645"/>
      <c r="G26" s="8"/>
    </row>
    <row r="27" spans="1:10" ht="19.5" hidden="1" customHeight="1">
      <c r="D27" s="9"/>
      <c r="E27" s="1067" t="str">
        <f>"Номер "&amp;IF(TEMPLATE_GROUP="P","принятия решения","заявления")&amp;" об изменении тарифов"</f>
        <v>Номер заявления об изменении тарифов</v>
      </c>
      <c r="F27" s="138"/>
      <c r="G27" s="8"/>
    </row>
    <row r="28" spans="1:10" ht="24.75" hidden="1" customHeight="1">
      <c r="D28" s="9"/>
      <c r="E28" s="324" t="s">
        <v>40</v>
      </c>
      <c r="F28" s="138"/>
      <c r="G28" s="8"/>
    </row>
    <row r="29" spans="1:10" ht="19.5" hidden="1" customHeight="1">
      <c r="D29" s="9"/>
      <c r="E29" s="324" t="s">
        <v>38</v>
      </c>
      <c r="F29" s="138"/>
      <c r="G29" s="8"/>
    </row>
    <row r="30" spans="1:10" s="1799" customFormat="1" ht="6" customHeight="1">
      <c r="A30" s="703"/>
      <c r="B30" s="151"/>
      <c r="C30" s="152"/>
      <c r="D30" s="157"/>
      <c r="E30" s="155"/>
      <c r="F30" s="158"/>
      <c r="G30" s="11"/>
      <c r="H30" s="342"/>
      <c r="I30" s="344"/>
      <c r="J30" s="788"/>
    </row>
    <row r="31" spans="1:10" ht="19.5" customHeight="1">
      <c r="C31" s="12"/>
      <c r="D31" s="13"/>
      <c r="E31" s="324" t="s">
        <v>41</v>
      </c>
      <c r="F31" s="1957" t="s">
        <v>2770</v>
      </c>
      <c r="G31" s="694"/>
    </row>
    <row r="32" spans="1:10" ht="19.5" hidden="1" customHeight="1">
      <c r="C32" s="12"/>
      <c r="D32" s="13"/>
      <c r="E32" s="325" t="s">
        <v>42</v>
      </c>
      <c r="F32" s="1805"/>
      <c r="G32" s="694"/>
    </row>
    <row r="33" spans="1:10" ht="19.5" customHeight="1">
      <c r="C33" s="12"/>
      <c r="D33" s="13"/>
      <c r="E33" s="324" t="s">
        <v>43</v>
      </c>
      <c r="F33" s="1957" t="s">
        <v>2771</v>
      </c>
      <c r="G33" s="694"/>
    </row>
    <row r="34" spans="1:10" ht="19.5" customHeight="1">
      <c r="C34" s="12"/>
      <c r="D34" s="13"/>
      <c r="E34" s="324" t="s">
        <v>44</v>
      </c>
      <c r="F34" s="1957" t="s">
        <v>2186</v>
      </c>
      <c r="G34" s="694"/>
      <c r="H34" s="14"/>
    </row>
    <row r="35" spans="1:10" s="1799" customFormat="1" ht="11.25" customHeight="1">
      <c r="A35" s="703"/>
      <c r="B35" s="151"/>
      <c r="C35" s="152"/>
      <c r="D35" s="157"/>
      <c r="E35" s="155"/>
      <c r="F35" s="158"/>
      <c r="G35" s="11"/>
      <c r="H35" s="342"/>
      <c r="I35" s="344"/>
      <c r="J35" s="788"/>
    </row>
    <row r="36" spans="1:10" ht="19.5" hidden="1" customHeight="1">
      <c r="A36" s="793"/>
      <c r="D36" s="13"/>
      <c r="E36" s="324" t="s">
        <v>45</v>
      </c>
      <c r="F36" s="272"/>
      <c r="G36" s="11"/>
    </row>
    <row r="37" spans="1:10" ht="19.5" customHeight="1">
      <c r="A37" s="793"/>
      <c r="D37" s="13"/>
      <c r="E37" s="324" t="s">
        <v>46</v>
      </c>
      <c r="F37" s="272"/>
      <c r="G37" s="11"/>
    </row>
    <row r="38" spans="1:10" s="1799" customFormat="1" ht="6" customHeight="1">
      <c r="A38" s="703"/>
      <c r="B38" s="151"/>
      <c r="C38" s="152"/>
      <c r="D38" s="153"/>
      <c r="E38" s="154"/>
      <c r="F38" s="962"/>
      <c r="G38" s="8"/>
      <c r="H38" s="342"/>
      <c r="I38" s="344"/>
      <c r="J38" s="790"/>
    </row>
    <row r="39" spans="1:10" ht="22.5" customHeight="1">
      <c r="A39" s="703"/>
      <c r="D39" s="9"/>
      <c r="E39" s="324" t="s">
        <v>47</v>
      </c>
      <c r="F39" s="628" t="s">
        <v>48</v>
      </c>
      <c r="G39" s="8"/>
      <c r="H39" s="691" t="s">
        <v>19</v>
      </c>
    </row>
    <row r="40" spans="1:10" s="1804" customFormat="1" ht="6" hidden="1" customHeight="1">
      <c r="A40" s="702"/>
      <c r="B40" s="358"/>
      <c r="C40" s="359"/>
      <c r="D40" s="360"/>
      <c r="E40" s="361"/>
      <c r="F40" s="962"/>
      <c r="G40" s="8"/>
      <c r="H40" s="342"/>
      <c r="I40" s="344"/>
      <c r="J40" s="790"/>
    </row>
    <row r="41" spans="1:10" s="1802" customFormat="1" ht="19.5" hidden="1" customHeight="1">
      <c r="A41" s="706" t="s">
        <v>23</v>
      </c>
      <c r="B41" s="346"/>
      <c r="C41" s="341"/>
      <c r="D41" s="343"/>
      <c r="E41" s="324"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628" t="s">
        <v>48</v>
      </c>
      <c r="G41" s="8"/>
      <c r="I41" s="344"/>
      <c r="J41" s="790"/>
    </row>
    <row r="42" spans="1:10" s="1804" customFormat="1" ht="6" hidden="1" customHeight="1">
      <c r="A42" s="702"/>
      <c r="B42" s="358"/>
      <c r="C42" s="359"/>
      <c r="D42" s="360"/>
      <c r="E42" s="361"/>
      <c r="F42" s="962"/>
      <c r="G42" s="8"/>
      <c r="H42" s="342"/>
      <c r="I42" s="344"/>
      <c r="J42" s="788"/>
    </row>
    <row r="43" spans="1:10" s="1802" customFormat="1" ht="22.5" hidden="1" customHeight="1">
      <c r="A43" s="702"/>
      <c r="B43" s="346"/>
      <c r="C43" s="341"/>
      <c r="D43" s="343"/>
      <c r="E43" s="324" t="s">
        <v>49</v>
      </c>
      <c r="F43" s="628" t="s">
        <v>50</v>
      </c>
      <c r="G43" s="8"/>
      <c r="I43" s="344"/>
      <c r="J43" s="790"/>
    </row>
    <row r="44" spans="1:10" s="1802" customFormat="1" ht="22.5" hidden="1" customHeight="1">
      <c r="A44" s="702"/>
      <c r="B44" s="346"/>
      <c r="C44" s="341"/>
      <c r="D44" s="343"/>
      <c r="E44" s="1067" t="s">
        <v>51</v>
      </c>
      <c r="F44" s="669"/>
      <c r="G44" s="8"/>
      <c r="I44" s="344"/>
      <c r="J44" s="790"/>
    </row>
    <row r="45" spans="1:10" s="1804" customFormat="1" ht="6" hidden="1" customHeight="1">
      <c r="A45" s="702"/>
      <c r="B45" s="358"/>
      <c r="C45" s="359"/>
      <c r="D45" s="360"/>
      <c r="E45" s="361"/>
      <c r="F45" s="962"/>
      <c r="G45" s="8"/>
      <c r="H45" s="342"/>
      <c r="I45" s="344"/>
      <c r="J45" s="790"/>
    </row>
    <row r="46" spans="1:10" s="1804" customFormat="1" ht="22.5" hidden="1" customHeight="1">
      <c r="A46" s="702"/>
      <c r="B46" s="358"/>
      <c r="C46" s="359"/>
      <c r="D46" s="360"/>
      <c r="E46" s="1067" t="s">
        <v>52</v>
      </c>
      <c r="F46" s="628" t="s">
        <v>48</v>
      </c>
      <c r="G46" s="8"/>
      <c r="H46" s="342"/>
      <c r="I46" s="344"/>
      <c r="J46" s="790"/>
    </row>
    <row r="47" spans="1:10" s="1802" customFormat="1" ht="22.5" hidden="1" customHeight="1">
      <c r="A47" s="702"/>
      <c r="B47" s="346"/>
      <c r="C47" s="341"/>
      <c r="D47" s="343"/>
      <c r="E47" s="1067" t="s">
        <v>53</v>
      </c>
      <c r="F47" s="628" t="s">
        <v>48</v>
      </c>
      <c r="G47" s="8"/>
      <c r="I47" s="344"/>
      <c r="J47" s="790"/>
    </row>
    <row r="48" spans="1:10" s="1799" customFormat="1" ht="6" hidden="1" customHeight="1">
      <c r="A48" s="702"/>
      <c r="B48" s="151"/>
      <c r="C48" s="152"/>
      <c r="D48" s="153"/>
      <c r="E48" s="154"/>
      <c r="F48" s="962"/>
      <c r="G48" s="8"/>
      <c r="H48" s="342"/>
      <c r="I48" s="344"/>
      <c r="J48" s="790"/>
    </row>
    <row r="49" spans="1:16" ht="19.5" hidden="1" customHeight="1">
      <c r="B49" s="72"/>
      <c r="D49" s="9"/>
      <c r="E49" s="324"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628"/>
      <c r="G49" s="8"/>
    </row>
    <row r="50" spans="1:16" s="1804" customFormat="1" ht="6" hidden="1" customHeight="1">
      <c r="A50" s="703"/>
      <c r="B50" s="358"/>
      <c r="C50" s="359"/>
      <c r="D50" s="157"/>
      <c r="E50" s="155"/>
      <c r="F50" s="158"/>
      <c r="G50" s="11"/>
      <c r="H50" s="342"/>
      <c r="I50" s="344"/>
      <c r="J50" s="790"/>
    </row>
    <row r="51" spans="1:16" s="1806" customFormat="1" ht="22.5" hidden="1" customHeight="1">
      <c r="A51" s="704"/>
      <c r="B51" s="346"/>
      <c r="C51" s="455"/>
      <c r="D51" s="456"/>
      <c r="E51" s="324" t="s">
        <v>54</v>
      </c>
      <c r="F51" s="628" t="s">
        <v>48</v>
      </c>
      <c r="G51" s="457"/>
      <c r="I51" s="458"/>
      <c r="J51" s="792"/>
      <c r="P51" s="459"/>
    </row>
    <row r="52" spans="1:16" s="1804" customFormat="1" ht="6" hidden="1" customHeight="1">
      <c r="A52" s="703"/>
      <c r="B52" s="358"/>
      <c r="C52" s="359"/>
      <c r="D52" s="157"/>
      <c r="E52" s="155"/>
      <c r="F52" s="158"/>
      <c r="G52" s="11"/>
      <c r="H52" s="342"/>
      <c r="I52" s="344"/>
      <c r="J52" s="788"/>
    </row>
    <row r="53" spans="1:16" s="1806" customFormat="1" ht="22.5" hidden="1" customHeight="1">
      <c r="A53" s="704"/>
      <c r="B53" s="346"/>
      <c r="C53" s="455"/>
      <c r="D53" s="456"/>
      <c r="E53" s="324" t="s">
        <v>55</v>
      </c>
      <c r="F53" s="957" t="s">
        <v>48</v>
      </c>
      <c r="G53" s="457"/>
      <c r="I53" s="458"/>
      <c r="J53" s="792"/>
      <c r="P53" s="459"/>
    </row>
    <row r="54" spans="1:16" s="1806" customFormat="1" ht="22.5" hidden="1" customHeight="1">
      <c r="A54" s="704"/>
      <c r="B54" s="346"/>
      <c r="C54" s="455"/>
      <c r="D54" s="456"/>
      <c r="E54" s="324" t="s">
        <v>56</v>
      </c>
      <c r="F54" s="1686"/>
      <c r="G54" s="457"/>
      <c r="I54" s="458"/>
      <c r="J54" s="792"/>
      <c r="P54" s="459"/>
    </row>
    <row r="55" spans="1:16" s="1804" customFormat="1" ht="6" hidden="1" customHeight="1">
      <c r="A55" s="703"/>
      <c r="B55" s="358"/>
      <c r="C55" s="359"/>
      <c r="D55" s="157"/>
      <c r="E55" s="155"/>
      <c r="F55" s="158"/>
      <c r="G55" s="11"/>
      <c r="H55" s="342"/>
      <c r="I55" s="344"/>
      <c r="J55" s="788"/>
    </row>
    <row r="56" spans="1:16" s="1806" customFormat="1" ht="22.5" hidden="1" customHeight="1">
      <c r="A56" s="704"/>
      <c r="B56" s="346"/>
      <c r="C56" s="455"/>
      <c r="D56" s="456"/>
      <c r="E56" s="324" t="s">
        <v>57</v>
      </c>
      <c r="F56" s="957" t="s">
        <v>48</v>
      </c>
      <c r="G56" s="457"/>
      <c r="I56" s="458"/>
      <c r="J56" s="792"/>
      <c r="P56" s="459"/>
    </row>
    <row r="57" spans="1:16" s="1804" customFormat="1" ht="6" hidden="1" customHeight="1">
      <c r="A57" s="703"/>
      <c r="B57" s="358"/>
      <c r="C57" s="359"/>
      <c r="D57" s="157"/>
      <c r="E57" s="155"/>
      <c r="F57" s="158"/>
      <c r="G57" s="11"/>
      <c r="H57" s="342"/>
      <c r="I57" s="344"/>
      <c r="J57" s="788"/>
    </row>
    <row r="58" spans="1:16" s="1806" customFormat="1" ht="15" hidden="1" customHeight="1">
      <c r="A58" s="704"/>
      <c r="B58" s="346"/>
      <c r="C58" s="455"/>
      <c r="D58" s="456"/>
      <c r="E58" s="324" t="s">
        <v>58</v>
      </c>
      <c r="F58" s="957" t="s">
        <v>50</v>
      </c>
      <c r="G58" s="457"/>
      <c r="I58" s="458"/>
      <c r="J58" s="792"/>
      <c r="P58" s="459"/>
    </row>
    <row r="59" spans="1:16" s="1806" customFormat="1" ht="15" hidden="1" customHeight="1">
      <c r="A59" s="704"/>
      <c r="B59" s="346"/>
      <c r="C59" s="455"/>
      <c r="D59" s="456"/>
      <c r="E59" s="324"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093"/>
      <c r="G59" s="457"/>
      <c r="I59" s="458"/>
      <c r="J59" s="792"/>
      <c r="P59" s="459"/>
    </row>
    <row r="60" spans="1:16" s="1806" customFormat="1" ht="15" hidden="1" customHeight="1">
      <c r="A60" s="704"/>
      <c r="B60" s="346"/>
      <c r="C60" s="455"/>
      <c r="D60" s="456"/>
      <c r="E60" s="1067" t="s">
        <v>59</v>
      </c>
      <c r="F60" s="1053"/>
      <c r="G60" s="457"/>
      <c r="I60" s="458"/>
      <c r="J60" s="792"/>
      <c r="P60" s="459"/>
    </row>
    <row r="61" spans="1:16" s="1804" customFormat="1" ht="6" hidden="1" customHeight="1">
      <c r="A61" s="703"/>
      <c r="B61" s="358"/>
      <c r="C61" s="359"/>
      <c r="D61" s="360"/>
      <c r="E61" s="361"/>
      <c r="F61" s="962"/>
      <c r="G61" s="8"/>
      <c r="H61" s="342"/>
      <c r="I61" s="344"/>
      <c r="J61" s="790"/>
    </row>
    <row r="62" spans="1:16" s="1802" customFormat="1" ht="33.75" hidden="1" customHeight="1">
      <c r="A62" s="703"/>
      <c r="B62" s="31"/>
      <c r="C62" s="341"/>
      <c r="D62" s="343"/>
      <c r="E62" s="1067" t="s">
        <v>60</v>
      </c>
      <c r="F62" s="1584" t="s">
        <v>50</v>
      </c>
      <c r="G62" s="8"/>
      <c r="H62" s="691" t="s">
        <v>19</v>
      </c>
      <c r="I62" s="344"/>
      <c r="J62" s="790"/>
    </row>
    <row r="63" spans="1:16" s="1799" customFormat="1" ht="6" customHeight="1">
      <c r="A63" s="703"/>
      <c r="B63" s="151"/>
      <c r="C63" s="152"/>
      <c r="D63" s="157"/>
      <c r="E63" s="155"/>
      <c r="F63" s="158"/>
      <c r="G63" s="11"/>
      <c r="H63" s="342"/>
      <c r="I63" s="344"/>
      <c r="J63" s="788"/>
    </row>
    <row r="64" spans="1:16" ht="19.5" customHeight="1">
      <c r="A64" s="705"/>
      <c r="B64" s="32"/>
      <c r="D64" s="16"/>
      <c r="E64" s="324" t="s">
        <v>61</v>
      </c>
      <c r="F64" s="1904" t="s">
        <v>5443</v>
      </c>
      <c r="G64" s="11"/>
    </row>
    <row r="65" spans="1:9" ht="19.5" customHeight="1">
      <c r="A65" s="705"/>
      <c r="B65" s="32"/>
      <c r="D65" s="16"/>
      <c r="E65" s="324" t="s">
        <v>62</v>
      </c>
      <c r="F65" s="1904" t="s">
        <v>5444</v>
      </c>
      <c r="G65" s="11"/>
    </row>
    <row r="66" spans="1:9" ht="35.25" customHeight="1">
      <c r="D66" s="9"/>
      <c r="E66" s="326" t="s">
        <v>63</v>
      </c>
      <c r="F66" s="963"/>
      <c r="G66" s="8"/>
    </row>
    <row r="67" spans="1:9" ht="19.5" customHeight="1">
      <c r="A67" s="705"/>
      <c r="D67" s="343"/>
      <c r="E67" s="324" t="s">
        <v>64</v>
      </c>
      <c r="F67" s="1904" t="s">
        <v>5445</v>
      </c>
      <c r="G67" s="11"/>
    </row>
    <row r="68" spans="1:9" ht="19.5" customHeight="1">
      <c r="A68" s="705"/>
      <c r="B68" s="32"/>
      <c r="D68" s="16"/>
      <c r="E68" s="324" t="s">
        <v>65</v>
      </c>
      <c r="F68" s="1904" t="s">
        <v>5446</v>
      </c>
      <c r="G68" s="11"/>
    </row>
    <row r="69" spans="1:9" ht="19.5" customHeight="1">
      <c r="A69" s="705"/>
      <c r="B69" s="32"/>
      <c r="D69" s="16"/>
      <c r="E69" s="324" t="s">
        <v>66</v>
      </c>
      <c r="F69" s="1904" t="s">
        <v>5447</v>
      </c>
      <c r="G69" s="11"/>
    </row>
    <row r="70" spans="1:9" ht="19.5" customHeight="1">
      <c r="D70" s="343"/>
      <c r="E70" s="324" t="s">
        <v>67</v>
      </c>
      <c r="F70" s="1904" t="s">
        <v>5448</v>
      </c>
      <c r="G70" s="8"/>
    </row>
    <row r="71" spans="1:9" ht="20.25" customHeight="1">
      <c r="A71" s="705"/>
      <c r="D71" s="8"/>
      <c r="F71" s="59"/>
      <c r="G71" s="11"/>
    </row>
    <row r="72" spans="1:9" ht="19.5" customHeight="1">
      <c r="A72" s="705"/>
      <c r="B72" s="32"/>
      <c r="D72" s="16"/>
      <c r="E72" s="15"/>
      <c r="F72" s="60"/>
      <c r="G72" s="11"/>
    </row>
    <row r="73" spans="1:9" ht="19.5" customHeight="1">
      <c r="A73" s="705"/>
      <c r="B73" s="32"/>
      <c r="D73" s="16"/>
      <c r="E73" s="15"/>
      <c r="F73" s="60"/>
      <c r="G73" s="11"/>
    </row>
    <row r="74" spans="1:9" ht="19.5" customHeight="1">
      <c r="A74" s="705"/>
      <c r="B74" s="32"/>
      <c r="D74" s="16"/>
      <c r="E74" s="20"/>
      <c r="F74" s="60"/>
      <c r="G74" s="11"/>
    </row>
    <row r="75" spans="1:9" ht="19.5" customHeight="1">
      <c r="A75" s="705"/>
      <c r="B75" s="32"/>
      <c r="D75" s="16"/>
      <c r="E75" s="15"/>
      <c r="F75" s="60"/>
      <c r="G75" s="11"/>
    </row>
    <row r="78" spans="1:9" ht="11.25" customHeight="1">
      <c r="E78" s="323"/>
      <c r="F78" s="323"/>
      <c r="G78" s="323"/>
      <c r="H78" s="323"/>
      <c r="I78" s="323"/>
    </row>
  </sheetData>
  <sheetProtection formatColumns="0" formatRows="0" insertRows="0" deleteColumns="0" deleteRows="0" sort="0" autoFilter="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37:F38 F61">
      <formula1>kind_of_NDS</formula1>
    </dataValidation>
    <dataValidation type="textLength" operator="lessThanOrEqual" allowBlank="1" showInputMessage="1" showErrorMessage="1" errorTitle="Ошибка" error="Допускается ввод не более 900 символов!" sqref="F72:F75 F32 F64:F65 F22:F24 F27:F29 F67:F70">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B28"/>
  <sheetViews>
    <sheetView showGridLines="0" topLeftCell="C2" zoomScale="90" workbookViewId="0"/>
  </sheetViews>
  <sheetFormatPr defaultColWidth="9.140625" defaultRowHeight="14.25" customHeight="1"/>
  <cols>
    <col min="1" max="1" width="8" style="1814" hidden="1" customWidth="1"/>
    <col min="2" max="2" width="6" style="1815" hidden="1" customWidth="1"/>
    <col min="3" max="3" width="3.7109375" style="1814" customWidth="1"/>
    <col min="4" max="4" width="3.7109375" style="1824" customWidth="1"/>
    <col min="5" max="5" width="6.28515625" style="1825" customWidth="1"/>
    <col min="6" max="6" width="2.7109375" style="1814" hidden="1" customWidth="1"/>
    <col min="7" max="7" width="46.7109375" style="1825" customWidth="1"/>
    <col min="8" max="8" width="43.140625" style="1825" customWidth="1"/>
    <col min="9" max="9" width="14.85546875" style="1825" customWidth="1"/>
    <col min="10" max="10" width="3.7109375" style="1817" customWidth="1"/>
    <col min="11" max="13" width="9.140625" style="1817" hidden="1"/>
    <col min="14" max="14" width="25.7109375" style="1818" hidden="1" customWidth="1"/>
    <col min="15" max="15" width="14.42578125" style="1817" hidden="1" customWidth="1"/>
    <col min="16" max="19" width="9.140625" style="1819" hidden="1"/>
    <col min="20" max="27" width="9.140625" style="1825" hidden="1"/>
    <col min="28" max="28" width="9.140625" style="1825"/>
  </cols>
  <sheetData>
    <row r="1" spans="1:28" s="1809" customFormat="1" ht="5.25" hidden="1" customHeight="1">
      <c r="A1" s="421"/>
      <c r="B1" s="436"/>
      <c r="C1" s="436"/>
      <c r="D1" s="141"/>
      <c r="F1" s="436"/>
      <c r="G1" s="165" t="s">
        <v>68</v>
      </c>
      <c r="H1" s="419" t="s">
        <v>69</v>
      </c>
      <c r="I1" s="147" t="s">
        <v>70</v>
      </c>
      <c r="J1" s="165" t="s">
        <v>68</v>
      </c>
      <c r="K1" s="165"/>
      <c r="L1" s="165"/>
      <c r="M1" s="165"/>
      <c r="N1" s="166"/>
      <c r="O1" s="165"/>
      <c r="P1" s="165"/>
      <c r="Q1" s="165"/>
      <c r="R1" s="165"/>
      <c r="S1" s="165"/>
      <c r="T1" s="147"/>
      <c r="U1" s="147"/>
      <c r="V1" s="147"/>
      <c r="W1" s="147"/>
      <c r="X1" s="147"/>
      <c r="Y1" s="147"/>
      <c r="Z1" s="147"/>
      <c r="AA1" s="147"/>
      <c r="AB1" s="147"/>
    </row>
    <row r="2" spans="1:28" s="1812" customFormat="1" ht="11.25" customHeight="1">
      <c r="A2" s="749"/>
      <c r="B2" s="148"/>
      <c r="C2" s="148"/>
      <c r="D2" s="149"/>
      <c r="E2" s="148"/>
      <c r="F2" s="148"/>
      <c r="G2" s="148"/>
      <c r="H2" s="148"/>
      <c r="I2" s="148"/>
      <c r="J2" s="165"/>
      <c r="K2" s="165"/>
      <c r="L2" s="165"/>
      <c r="M2" s="165"/>
      <c r="N2" s="166"/>
      <c r="O2" s="165"/>
      <c r="P2" s="150"/>
      <c r="Q2" s="150"/>
      <c r="R2" s="150"/>
      <c r="S2" s="150"/>
      <c r="T2" s="149"/>
      <c r="U2" s="149"/>
      <c r="V2" s="149"/>
      <c r="W2" s="149"/>
      <c r="X2" s="149"/>
      <c r="Y2" s="149"/>
      <c r="Z2" s="149"/>
      <c r="AA2" s="149"/>
      <c r="AB2" s="149"/>
    </row>
    <row r="3" spans="1:28" s="1813" customFormat="1" ht="3" customHeight="1">
      <c r="A3" s="676"/>
      <c r="B3" s="350"/>
      <c r="C3" s="676"/>
      <c r="D3" s="85"/>
      <c r="E3" s="35"/>
      <c r="F3" s="434"/>
      <c r="G3" s="35"/>
      <c r="H3" s="35"/>
      <c r="I3" s="87"/>
      <c r="J3" s="165"/>
      <c r="K3" s="77"/>
      <c r="L3" s="77"/>
      <c r="M3" s="77"/>
      <c r="N3" s="146"/>
      <c r="O3" s="77"/>
      <c r="P3" s="145"/>
      <c r="Q3" s="145"/>
      <c r="R3" s="145"/>
      <c r="S3" s="145"/>
    </row>
    <row r="4" spans="1:28" s="1813" customFormat="1" ht="25.5" customHeight="1">
      <c r="A4" s="676"/>
      <c r="B4" s="350"/>
      <c r="C4" s="676"/>
      <c r="D4" s="85"/>
      <c r="E4" s="2005" t="str">
        <f>NameTemplatesInListMO</f>
        <v>Перечень муниципальных районов и муниципальных образований (территорий действия тарифа)</v>
      </c>
      <c r="F4" s="2005"/>
      <c r="G4" s="2005"/>
      <c r="H4" s="2005"/>
      <c r="I4" s="2005"/>
      <c r="J4" s="165"/>
      <c r="K4" s="77"/>
      <c r="L4" s="77"/>
      <c r="M4" s="77"/>
      <c r="N4" s="146"/>
      <c r="O4" s="77"/>
      <c r="P4" s="145"/>
      <c r="Q4" s="145"/>
      <c r="R4" s="145"/>
      <c r="S4" s="145"/>
    </row>
    <row r="5" spans="1:28" s="1813" customFormat="1" ht="3" customHeight="1">
      <c r="A5" s="676"/>
      <c r="B5" s="350"/>
      <c r="C5" s="676"/>
      <c r="D5" s="85"/>
      <c r="E5" s="35"/>
      <c r="F5" s="434"/>
      <c r="G5" s="88"/>
      <c r="H5" s="88"/>
      <c r="I5" s="89"/>
      <c r="J5" s="77"/>
      <c r="K5" s="77"/>
      <c r="L5" s="77"/>
      <c r="M5" s="77"/>
      <c r="N5" s="146"/>
      <c r="O5" s="77"/>
      <c r="P5" s="145"/>
      <c r="Q5" s="145"/>
      <c r="R5" s="145"/>
      <c r="S5" s="145"/>
    </row>
    <row r="6" spans="1:28" s="1813" customFormat="1" ht="20.25" hidden="1" customHeight="1">
      <c r="A6" s="755"/>
      <c r="B6" s="751"/>
      <c r="C6" s="90"/>
      <c r="D6" s="85"/>
      <c r="E6" s="697"/>
      <c r="F6" s="697"/>
      <c r="G6" s="88"/>
      <c r="H6" s="91"/>
      <c r="I6" s="91"/>
      <c r="J6" s="77"/>
      <c r="K6" s="77"/>
      <c r="L6" s="77"/>
      <c r="M6" s="77"/>
      <c r="N6" s="146"/>
      <c r="O6" s="77"/>
      <c r="P6" s="145"/>
      <c r="Q6" s="145"/>
      <c r="R6" s="145"/>
      <c r="S6" s="145"/>
    </row>
    <row r="7" spans="1:28" ht="25.5" hidden="1" customHeight="1"/>
    <row r="8" spans="1:28" s="1813" customFormat="1" ht="14.25" customHeight="1">
      <c r="A8" s="676"/>
      <c r="B8" s="350"/>
      <c r="C8" s="676"/>
      <c r="D8" s="85"/>
      <c r="E8" s="2001" t="s">
        <v>71</v>
      </c>
      <c r="F8" s="2006"/>
      <c r="G8" s="2000"/>
      <c r="H8" s="2007" t="s">
        <v>72</v>
      </c>
      <c r="I8" s="2007"/>
      <c r="J8" s="77"/>
      <c r="K8" s="77"/>
      <c r="L8" s="77"/>
      <c r="M8" s="77"/>
      <c r="N8" s="146"/>
      <c r="O8" s="77"/>
      <c r="P8" s="145"/>
      <c r="Q8" s="145"/>
      <c r="R8" s="145"/>
      <c r="S8" s="145"/>
    </row>
    <row r="9" spans="1:28" s="1813" customFormat="1" ht="20.25" customHeight="1">
      <c r="A9" s="676"/>
      <c r="B9" s="350"/>
      <c r="C9" s="676"/>
      <c r="D9" s="85"/>
      <c r="E9" s="695" t="s">
        <v>73</v>
      </c>
      <c r="F9" s="695"/>
      <c r="G9" s="93" t="s">
        <v>74</v>
      </c>
      <c r="H9" s="93" t="s">
        <v>74</v>
      </c>
      <c r="I9" s="93" t="s">
        <v>70</v>
      </c>
      <c r="J9" s="77"/>
      <c r="K9" s="77"/>
      <c r="L9" s="77"/>
      <c r="M9" s="77"/>
      <c r="N9" s="146"/>
      <c r="O9" s="77"/>
      <c r="P9" s="145"/>
      <c r="Q9" s="145"/>
      <c r="R9" s="145"/>
      <c r="S9" s="145"/>
    </row>
    <row r="10" spans="1:28" ht="11.25" customHeight="1">
      <c r="D10" s="97"/>
      <c r="E10" s="696" t="s">
        <v>75</v>
      </c>
      <c r="F10" s="696"/>
      <c r="G10" s="143" t="s">
        <v>76</v>
      </c>
      <c r="H10" s="143" t="s">
        <v>77</v>
      </c>
      <c r="I10" s="143" t="s">
        <v>78</v>
      </c>
      <c r="J10" s="107"/>
      <c r="K10" s="107"/>
      <c r="L10" s="107"/>
      <c r="M10" s="107"/>
      <c r="N10" s="92"/>
      <c r="O10" s="107"/>
      <c r="P10" s="144"/>
      <c r="Q10" s="144"/>
      <c r="R10" s="144"/>
      <c r="S10" s="144"/>
    </row>
    <row r="11" spans="1:28" s="1813" customFormat="1" ht="0.75" customHeight="1">
      <c r="A11" s="676"/>
      <c r="B11" s="350"/>
      <c r="C11" s="676"/>
      <c r="D11" s="85"/>
      <c r="E11" s="708"/>
      <c r="F11" s="708"/>
      <c r="G11" s="94"/>
      <c r="H11" s="94"/>
      <c r="I11" s="96"/>
      <c r="J11" s="167" t="s">
        <v>79</v>
      </c>
      <c r="K11" s="77"/>
      <c r="L11" s="77"/>
      <c r="M11" s="77" t="s">
        <v>80</v>
      </c>
      <c r="N11" s="146" t="s">
        <v>81</v>
      </c>
      <c r="O11" s="77" t="s">
        <v>82</v>
      </c>
      <c r="P11" s="145"/>
      <c r="Q11" s="145"/>
      <c r="R11" s="145"/>
      <c r="S11" s="145"/>
    </row>
    <row r="12" spans="1:28" s="1820" customFormat="1" ht="14.25" customHeight="1">
      <c r="A12" s="2004">
        <v>1</v>
      </c>
      <c r="B12" s="350"/>
      <c r="C12" s="676"/>
      <c r="D12" s="700"/>
      <c r="E12" s="139">
        <f>A12</f>
        <v>1</v>
      </c>
      <c r="F12" s="720" t="s">
        <v>83</v>
      </c>
      <c r="G12" s="464" t="str">
        <f>"Территория "&amp;E12</f>
        <v>Территория 1</v>
      </c>
      <c r="H12" s="710"/>
      <c r="I12" s="710"/>
      <c r="J12" s="707"/>
      <c r="K12" s="425"/>
      <c r="L12" s="425"/>
      <c r="M12" s="425"/>
      <c r="N12" s="146"/>
      <c r="O12" s="425"/>
      <c r="P12" s="145"/>
      <c r="Q12" s="145"/>
      <c r="R12" s="145"/>
      <c r="S12" s="145"/>
    </row>
    <row r="13" spans="1:28" s="1822" customFormat="1" ht="15" customHeight="1">
      <c r="A13" s="2004"/>
      <c r="B13" s="350">
        <v>1</v>
      </c>
      <c r="C13" s="350"/>
      <c r="D13" s="718"/>
      <c r="E13" s="698" t="str">
        <f>A12&amp;"."&amp;B13</f>
        <v>1.1</v>
      </c>
      <c r="F13" s="713">
        <v>1</v>
      </c>
      <c r="G13" s="711"/>
      <c r="H13" s="711"/>
      <c r="I13" s="709"/>
      <c r="J13" s="425" t="e">
        <f ca="1">MERGEVALUE(G13)</f>
        <v>#NAME?</v>
      </c>
      <c r="K13" s="436"/>
      <c r="L13" s="436"/>
      <c r="M13" s="425" t="str">
        <f t="array" ref="M13">IF(ISERROR(MATCH(MID(N13,1,250),MID(note_ter,1,250),0)),"n","y")</f>
        <v>n</v>
      </c>
      <c r="N13" s="436"/>
      <c r="O13" s="425" t="str">
        <f>H13&amp;"("&amp;I13&amp;")"</f>
        <v>()</v>
      </c>
      <c r="P13" s="350"/>
      <c r="Q13" s="350"/>
      <c r="R13" s="352"/>
      <c r="S13" s="350"/>
      <c r="T13" s="350"/>
      <c r="U13" s="350"/>
      <c r="V13" s="354"/>
      <c r="W13" s="354"/>
      <c r="X13" s="351"/>
      <c r="Y13" s="351"/>
      <c r="Z13" s="351"/>
      <c r="AA13" s="351"/>
      <c r="AB13" s="351"/>
    </row>
    <row r="14" spans="1:28" s="1822" customFormat="1" ht="15" customHeight="1">
      <c r="A14" s="2004"/>
      <c r="B14" s="350"/>
      <c r="C14" s="345"/>
      <c r="D14" s="719"/>
      <c r="E14" s="353"/>
      <c r="F14" s="98"/>
      <c r="G14" s="348" t="s">
        <v>84</v>
      </c>
      <c r="H14" s="108"/>
      <c r="I14" s="356"/>
      <c r="J14" s="436"/>
      <c r="K14" s="436"/>
      <c r="L14" s="436"/>
      <c r="M14" s="436"/>
      <c r="N14" s="425"/>
      <c r="O14" s="436"/>
      <c r="P14" s="350"/>
      <c r="Q14" s="350"/>
      <c r="R14" s="352"/>
      <c r="S14" s="350"/>
      <c r="T14" s="350"/>
      <c r="U14" s="350"/>
      <c r="V14" s="354"/>
      <c r="W14" s="354"/>
      <c r="X14" s="351"/>
      <c r="Y14" s="351"/>
      <c r="Z14" s="351"/>
      <c r="AA14" s="351"/>
      <c r="AB14" s="351"/>
    </row>
    <row r="15" spans="1:28" s="1813" customFormat="1" ht="14.25" customHeight="1">
      <c r="A15" s="676"/>
      <c r="B15" s="350"/>
      <c r="C15" s="676"/>
      <c r="D15" s="700"/>
      <c r="E15" s="712"/>
      <c r="F15" s="99"/>
      <c r="G15" s="349" t="s">
        <v>85</v>
      </c>
      <c r="H15" s="99"/>
      <c r="I15" s="100"/>
      <c r="J15" s="167"/>
      <c r="K15" s="77"/>
      <c r="L15" s="77"/>
      <c r="M15" s="77"/>
      <c r="N15" s="146" t="s">
        <v>86</v>
      </c>
      <c r="O15" s="77"/>
      <c r="P15" s="145"/>
      <c r="Q15" s="145"/>
      <c r="R15" s="145"/>
      <c r="S15" s="145"/>
    </row>
    <row r="16" spans="1:28" s="1813" customFormat="1" ht="21" customHeight="1">
      <c r="A16" s="676"/>
      <c r="B16" s="350"/>
      <c r="C16" s="676"/>
      <c r="D16" s="86"/>
      <c r="E16" s="101"/>
      <c r="F16" s="101"/>
      <c r="G16" s="101"/>
      <c r="H16" s="101"/>
      <c r="I16" s="101"/>
      <c r="J16" s="77"/>
      <c r="K16" s="77"/>
      <c r="L16" s="77"/>
      <c r="M16" s="77"/>
      <c r="N16" s="146"/>
      <c r="O16" s="77"/>
      <c r="P16" s="145"/>
      <c r="Q16" s="145"/>
      <c r="R16" s="145"/>
      <c r="S16" s="145"/>
    </row>
    <row r="17" spans="1:19" s="1813" customFormat="1" ht="14.25" customHeight="1">
      <c r="A17" s="676"/>
      <c r="B17" s="350"/>
      <c r="C17" s="676"/>
      <c r="D17" s="86"/>
      <c r="E17" s="17"/>
      <c r="F17" s="676"/>
      <c r="G17" s="17"/>
      <c r="H17" s="17"/>
      <c r="I17" s="17"/>
      <c r="J17" s="77"/>
      <c r="K17" s="77"/>
      <c r="L17" s="77"/>
      <c r="M17" s="77"/>
      <c r="N17" s="146"/>
      <c r="O17" s="77"/>
      <c r="P17" s="145"/>
      <c r="Q17" s="145"/>
      <c r="R17" s="145"/>
      <c r="S17" s="145"/>
    </row>
    <row r="18" spans="1:19" s="1813" customFormat="1" ht="0.75" customHeight="1">
      <c r="A18" s="676"/>
      <c r="B18" s="350"/>
      <c r="C18" s="676"/>
      <c r="D18" s="86"/>
      <c r="E18" s="17"/>
      <c r="F18" s="676"/>
      <c r="G18" s="17"/>
      <c r="H18" s="17"/>
      <c r="I18" s="17"/>
      <c r="J18" s="77"/>
      <c r="K18" s="77"/>
      <c r="L18" s="77"/>
      <c r="M18" s="77"/>
      <c r="N18" s="146"/>
      <c r="O18" s="77"/>
      <c r="P18" s="145"/>
      <c r="Q18" s="145"/>
      <c r="R18" s="145"/>
      <c r="S18" s="145"/>
    </row>
    <row r="19" spans="1:19" s="1826" customFormat="1" ht="10.5" customHeight="1">
      <c r="B19" s="752"/>
      <c r="D19" s="103"/>
      <c r="J19" s="77"/>
      <c r="K19" s="77"/>
      <c r="L19" s="77"/>
      <c r="M19" s="77"/>
      <c r="N19" s="146"/>
      <c r="O19" s="77"/>
      <c r="P19" s="145"/>
      <c r="Q19" s="145"/>
      <c r="R19" s="145"/>
      <c r="S19" s="145"/>
    </row>
    <row r="20" spans="1:19" s="1826" customFormat="1" ht="10.5" customHeight="1">
      <c r="B20" s="752"/>
      <c r="D20" s="103"/>
      <c r="J20" s="77"/>
      <c r="K20" s="77"/>
      <c r="L20" s="77"/>
      <c r="M20" s="77"/>
      <c r="N20" s="146"/>
      <c r="O20" s="77"/>
      <c r="P20" s="145"/>
      <c r="Q20" s="145"/>
      <c r="R20" s="145"/>
      <c r="S20" s="145"/>
    </row>
    <row r="24" spans="1:19" ht="14.25" customHeight="1">
      <c r="H24" s="1"/>
    </row>
    <row r="28" spans="1:19" ht="14.25" customHeight="1">
      <c r="J28" s="17"/>
      <c r="K28" s="17"/>
      <c r="L28" s="17"/>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60"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L16"/>
  <sheetViews>
    <sheetView showGridLines="0" topLeftCell="C3" zoomScale="90" workbookViewId="0"/>
  </sheetViews>
  <sheetFormatPr defaultColWidth="9.140625" defaultRowHeight="11.25" customHeight="1"/>
  <cols>
    <col min="1" max="1" width="6.42578125" style="1834" hidden="1" customWidth="1"/>
    <col min="2" max="2" width="2" style="1834" hidden="1" customWidth="1"/>
    <col min="3" max="3" width="3.7109375" style="1834" customWidth="1"/>
    <col min="4" max="4" width="4.28515625" style="1834" customWidth="1"/>
    <col min="5" max="5" width="45" style="1834" customWidth="1"/>
    <col min="6" max="6" width="6.42578125" style="1834" customWidth="1"/>
    <col min="7" max="7" width="4.42578125" style="1834" customWidth="1"/>
    <col min="8" max="8" width="5.5703125" style="1834" customWidth="1"/>
    <col min="9" max="9" width="52.85546875" style="1834" customWidth="1"/>
    <col min="10" max="10" width="7" style="1834" customWidth="1"/>
    <col min="11" max="11" width="3.7109375" style="1834" customWidth="1"/>
    <col min="12" max="12" width="6.28515625" style="1834" customWidth="1"/>
    <col min="13" max="13" width="56.28515625" style="1834" customWidth="1"/>
    <col min="14" max="14" width="9.140625" style="1827"/>
    <col min="15" max="20" width="9.140625" style="1831" hidden="1"/>
    <col min="21" max="24" width="9.140625" style="1835" hidden="1"/>
    <col min="25" max="37" width="9.140625" style="1827" hidden="1"/>
    <col min="38" max="38" width="9.140625" style="1827"/>
  </cols>
  <sheetData>
    <row r="1" spans="1:38" ht="11.25" hidden="1" customHeight="1"/>
    <row r="2" spans="1:38" ht="11.25" hidden="1" customHeight="1"/>
    <row r="4" spans="1:38" ht="34.5" customHeight="1">
      <c r="A4" s="508"/>
      <c r="B4" s="508"/>
      <c r="D4" s="2012"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E4" s="2013"/>
      <c r="F4" s="2013"/>
      <c r="G4" s="2013"/>
      <c r="H4" s="2013"/>
      <c r="I4" s="2014"/>
      <c r="J4" s="507"/>
      <c r="K4" s="507"/>
      <c r="L4" s="507"/>
      <c r="M4" s="507"/>
    </row>
    <row r="5" spans="1:38" s="1828" customFormat="1" ht="15" customHeight="1">
      <c r="A5" s="508"/>
      <c r="B5" s="508"/>
      <c r="C5" s="508"/>
      <c r="D5" s="2015" t="str">
        <f>IF(org=0,"Не определено",org)</f>
        <v>ООО "Горводоканал"</v>
      </c>
      <c r="E5" s="2016"/>
      <c r="F5" s="2016"/>
      <c r="G5" s="2016"/>
      <c r="H5" s="2016"/>
      <c r="I5" s="2017"/>
      <c r="J5" s="509"/>
      <c r="K5" s="509"/>
      <c r="L5" s="509"/>
      <c r="M5" s="509"/>
      <c r="N5" s="509"/>
      <c r="O5" s="784"/>
      <c r="P5" s="784"/>
      <c r="Q5" s="784"/>
      <c r="R5" s="784"/>
      <c r="S5" s="784"/>
      <c r="T5" s="784"/>
      <c r="U5" s="1183"/>
      <c r="V5" s="1183"/>
      <c r="W5" s="1183"/>
      <c r="X5" s="1183"/>
      <c r="Y5" s="509"/>
      <c r="Z5" s="509"/>
      <c r="AA5" s="509"/>
      <c r="AB5" s="509"/>
      <c r="AC5" s="509"/>
      <c r="AD5" s="509"/>
      <c r="AE5" s="509"/>
      <c r="AF5" s="509"/>
      <c r="AG5" s="509"/>
      <c r="AH5" s="509"/>
      <c r="AI5" s="509"/>
      <c r="AJ5" s="509"/>
      <c r="AK5" s="509"/>
      <c r="AL5" s="509"/>
    </row>
    <row r="6" spans="1:38" s="1829" customFormat="1" ht="6" customHeight="1">
      <c r="A6" s="2004"/>
      <c r="B6" s="2004"/>
      <c r="C6" s="2004"/>
      <c r="D6" s="2004"/>
      <c r="E6" s="2004"/>
      <c r="F6" s="2004"/>
      <c r="G6" s="510"/>
      <c r="H6" s="510"/>
      <c r="I6" s="510"/>
      <c r="J6" s="510"/>
      <c r="K6" s="510"/>
      <c r="N6" s="512"/>
      <c r="O6" s="1332"/>
      <c r="P6" s="1332"/>
      <c r="Q6" s="1332"/>
      <c r="R6" s="1332"/>
      <c r="S6" s="1332"/>
      <c r="T6" s="1332"/>
      <c r="U6" s="1185"/>
      <c r="V6" s="1185"/>
      <c r="W6" s="1185"/>
      <c r="X6" s="1185"/>
      <c r="Y6" s="512"/>
      <c r="Z6" s="512"/>
      <c r="AA6" s="512"/>
      <c r="AB6" s="512"/>
      <c r="AC6" s="512"/>
      <c r="AD6" s="512"/>
      <c r="AE6" s="512"/>
      <c r="AF6" s="512"/>
      <c r="AG6" s="512"/>
      <c r="AH6" s="512"/>
      <c r="AI6" s="512"/>
      <c r="AJ6" s="512"/>
      <c r="AK6" s="512"/>
      <c r="AL6" s="512"/>
    </row>
    <row r="7" spans="1:38" ht="45.75" hidden="1" customHeight="1">
      <c r="E7" s="202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23"/>
      <c r="G7" s="2023"/>
      <c r="H7" s="2023"/>
      <c r="I7" s="2023"/>
      <c r="J7" s="2023"/>
      <c r="K7" s="2023"/>
      <c r="L7" s="2023"/>
      <c r="M7" s="2023"/>
    </row>
    <row r="8" spans="1:38" s="1828" customFormat="1" ht="6" customHeight="1">
      <c r="A8" s="513"/>
      <c r="B8" s="513"/>
      <c r="C8" s="513"/>
      <c r="D8" s="513"/>
      <c r="E8" s="513"/>
      <c r="F8" s="513"/>
      <c r="G8" s="513"/>
      <c r="H8" s="513"/>
      <c r="I8" s="513"/>
      <c r="J8" s="513"/>
      <c r="K8" s="513"/>
      <c r="L8" s="513"/>
      <c r="M8" s="511"/>
      <c r="N8" s="509"/>
      <c r="O8" s="784"/>
      <c r="P8" s="784"/>
      <c r="Q8" s="784"/>
      <c r="R8" s="784"/>
      <c r="S8" s="784"/>
      <c r="T8" s="784"/>
      <c r="U8" s="1183"/>
      <c r="V8" s="1183"/>
      <c r="W8" s="1183"/>
      <c r="X8" s="1183"/>
      <c r="Y8" s="509"/>
      <c r="Z8" s="509"/>
      <c r="AA8" s="509"/>
      <c r="AB8" s="509"/>
      <c r="AC8" s="509"/>
      <c r="AD8" s="509"/>
      <c r="AE8" s="509"/>
      <c r="AF8" s="509"/>
      <c r="AG8" s="509"/>
      <c r="AH8" s="509"/>
      <c r="AI8" s="509"/>
      <c r="AJ8" s="509"/>
      <c r="AK8" s="509"/>
      <c r="AL8" s="509"/>
    </row>
    <row r="9" spans="1:38" ht="18" customHeight="1">
      <c r="A9" s="2018"/>
      <c r="B9" s="247"/>
      <c r="C9" s="247"/>
      <c r="D9" s="2019" t="s">
        <v>87</v>
      </c>
      <c r="E9" s="2019"/>
      <c r="F9" s="2020" t="s">
        <v>88</v>
      </c>
      <c r="G9" s="2021"/>
      <c r="H9" s="2021"/>
      <c r="I9" s="2021"/>
      <c r="J9" s="2024" t="s">
        <v>89</v>
      </c>
      <c r="K9" s="2024"/>
      <c r="L9" s="2024"/>
      <c r="M9" s="2024"/>
    </row>
    <row r="10" spans="1:38" ht="22.5" customHeight="1">
      <c r="A10" s="2018"/>
      <c r="B10" s="514"/>
      <c r="C10" s="450"/>
      <c r="D10" s="448" t="s">
        <v>73</v>
      </c>
      <c r="E10" s="448" t="s">
        <v>74</v>
      </c>
      <c r="F10" s="448" t="s">
        <v>90</v>
      </c>
      <c r="G10" s="2025" t="s">
        <v>73</v>
      </c>
      <c r="H10" s="2026"/>
      <c r="I10" s="448" t="s">
        <v>74</v>
      </c>
      <c r="J10" s="448" t="s">
        <v>90</v>
      </c>
      <c r="K10" s="2025" t="s">
        <v>73</v>
      </c>
      <c r="L10" s="2026"/>
      <c r="M10" s="448" t="s">
        <v>74</v>
      </c>
      <c r="N10" s="1541"/>
    </row>
    <row r="11" spans="1:38" s="1830" customFormat="1" ht="11.25" hidden="1" customHeight="1">
      <c r="A11" s="515"/>
      <c r="B11" s="515"/>
      <c r="C11" s="515"/>
      <c r="D11" s="516" t="s">
        <v>91</v>
      </c>
      <c r="E11" s="516" t="s">
        <v>92</v>
      </c>
      <c r="F11" s="516" t="s">
        <v>75</v>
      </c>
      <c r="G11" s="2008" t="s">
        <v>76</v>
      </c>
      <c r="H11" s="2009"/>
      <c r="I11" s="516" t="s">
        <v>93</v>
      </c>
      <c r="J11" s="516" t="s">
        <v>77</v>
      </c>
      <c r="K11" s="2010" t="s">
        <v>78</v>
      </c>
      <c r="L11" s="2011"/>
      <c r="M11" s="516" t="s">
        <v>94</v>
      </c>
      <c r="N11" s="1540"/>
      <c r="O11" s="1331"/>
      <c r="P11" s="1333"/>
      <c r="Q11" s="1333"/>
      <c r="R11" s="1333"/>
      <c r="S11" s="1333"/>
      <c r="T11" s="1333"/>
      <c r="U11" s="1186"/>
      <c r="V11" s="1186"/>
      <c r="W11" s="1186"/>
      <c r="X11" s="1186"/>
      <c r="Y11" s="517"/>
      <c r="Z11" s="517"/>
      <c r="AA11" s="517"/>
      <c r="AB11" s="517"/>
      <c r="AC11" s="517"/>
      <c r="AD11" s="517"/>
      <c r="AE11" s="517"/>
      <c r="AF11" s="517"/>
      <c r="AG11" s="517"/>
      <c r="AH11" s="517"/>
      <c r="AI11" s="517"/>
      <c r="AJ11" s="517"/>
      <c r="AK11" s="517"/>
      <c r="AL11" s="517"/>
    </row>
    <row r="12" spans="1:38" ht="0.75" customHeight="1">
      <c r="A12" s="518"/>
      <c r="B12" s="519"/>
      <c r="C12" s="519"/>
      <c r="D12" s="520"/>
      <c r="E12" s="294"/>
      <c r="F12" s="521"/>
      <c r="G12" s="968"/>
      <c r="H12" s="968"/>
      <c r="I12" s="521"/>
      <c r="J12" s="521"/>
      <c r="K12" s="95"/>
      <c r="L12" s="294"/>
      <c r="M12" s="522"/>
      <c r="N12" s="1541"/>
      <c r="O12" s="1331" t="s">
        <v>95</v>
      </c>
      <c r="P12" s="1331" t="s">
        <v>96</v>
      </c>
      <c r="Q12" s="1331" t="s">
        <v>97</v>
      </c>
      <c r="R12" s="1331" t="s">
        <v>98</v>
      </c>
    </row>
    <row r="13" spans="1:38" s="1832" customFormat="1" ht="15" customHeight="1">
      <c r="A13" s="210"/>
      <c r="B13" s="210"/>
      <c r="C13" s="451"/>
      <c r="D13" s="2030" t="s">
        <v>91</v>
      </c>
      <c r="E13" s="2031"/>
      <c r="F13" s="2034" t="s">
        <v>50</v>
      </c>
      <c r="G13" s="2035"/>
      <c r="H13" s="2036">
        <v>1</v>
      </c>
      <c r="I13" s="2027" t="str">
        <f>IF(U13="","",INDEX(TERRITORY_MR_LIST,MATCH(U13,TERRITORY_LIST_ID,0)))</f>
        <v/>
      </c>
      <c r="J13" s="2029" t="s">
        <v>48</v>
      </c>
      <c r="K13" s="523"/>
      <c r="L13" s="452" t="s">
        <v>91</v>
      </c>
      <c r="M13" s="524" t="s">
        <v>18</v>
      </c>
      <c r="N13" s="730"/>
      <c r="O13" s="1334" t="s">
        <v>99</v>
      </c>
      <c r="P13" s="1331">
        <f>$E$13</f>
        <v>0</v>
      </c>
      <c r="Q13" s="1331" t="str">
        <f>IF($F$13="нет","без дифференциации",$I$13)</f>
        <v/>
      </c>
      <c r="R13" s="1331" t="str">
        <f>IF($J$13="нет","без дифференциации",M13)</f>
        <v>без дифференциации</v>
      </c>
      <c r="S13" s="1334"/>
      <c r="T13" s="1334"/>
      <c r="U13" s="1187"/>
      <c r="V13" s="1187"/>
      <c r="W13" s="1187"/>
      <c r="X13" s="1187"/>
      <c r="Y13" s="525" t="s">
        <v>100</v>
      </c>
      <c r="Z13" s="525">
        <v>1705000</v>
      </c>
      <c r="AA13" s="525"/>
      <c r="AB13" s="525"/>
      <c r="AC13" s="525"/>
      <c r="AD13" s="525"/>
      <c r="AE13" s="525"/>
      <c r="AF13" s="525"/>
      <c r="AG13" s="525"/>
      <c r="AH13" s="525"/>
      <c r="AI13" s="525"/>
      <c r="AJ13" s="525"/>
      <c r="AK13" s="525"/>
      <c r="AL13" s="525"/>
    </row>
    <row r="14" spans="1:38" s="1832" customFormat="1" ht="15" customHeight="1">
      <c r="A14" s="210"/>
      <c r="B14" s="210"/>
      <c r="C14" s="97"/>
      <c r="D14" s="2030"/>
      <c r="E14" s="2032"/>
      <c r="F14" s="2029"/>
      <c r="G14" s="2035"/>
      <c r="H14" s="2036"/>
      <c r="I14" s="2028"/>
      <c r="J14" s="2029"/>
      <c r="K14" s="353"/>
      <c r="L14" s="98"/>
      <c r="M14" s="527" t="s">
        <v>101</v>
      </c>
      <c r="N14" s="730"/>
      <c r="O14" s="1334"/>
      <c r="P14" s="1331"/>
      <c r="Q14" s="1331"/>
      <c r="R14" s="1331"/>
      <c r="S14" s="1334"/>
      <c r="T14" s="1334"/>
      <c r="U14" s="1187"/>
      <c r="V14" s="1187"/>
      <c r="W14" s="1187"/>
      <c r="X14" s="1187"/>
      <c r="Y14" s="525"/>
      <c r="Z14" s="525"/>
      <c r="AA14" s="525"/>
      <c r="AB14" s="525"/>
      <c r="AC14" s="525"/>
      <c r="AD14" s="525"/>
      <c r="AE14" s="525"/>
      <c r="AF14" s="525"/>
      <c r="AG14" s="525"/>
      <c r="AH14" s="525"/>
      <c r="AI14" s="525"/>
      <c r="AJ14" s="525"/>
      <c r="AK14" s="525"/>
      <c r="AL14" s="525"/>
    </row>
    <row r="15" spans="1:38" s="1832" customFormat="1" ht="15" customHeight="1">
      <c r="A15" s="210"/>
      <c r="B15" s="210"/>
      <c r="C15" s="97"/>
      <c r="D15" s="2030"/>
      <c r="E15" s="2033"/>
      <c r="F15" s="2029"/>
      <c r="G15" s="969"/>
      <c r="H15" s="970"/>
      <c r="I15" s="504" t="s">
        <v>102</v>
      </c>
      <c r="J15" s="98"/>
      <c r="K15" s="98"/>
      <c r="L15" s="98"/>
      <c r="M15" s="528"/>
      <c r="N15" s="730"/>
      <c r="O15" s="1334"/>
      <c r="P15" s="1331"/>
      <c r="Q15" s="1331"/>
      <c r="R15" s="1331"/>
      <c r="S15" s="1334"/>
      <c r="T15" s="1334"/>
      <c r="U15" s="1187"/>
      <c r="V15" s="1187"/>
      <c r="W15" s="1187"/>
      <c r="X15" s="1187"/>
      <c r="Y15" s="525"/>
      <c r="Z15" s="525"/>
      <c r="AA15" s="525"/>
      <c r="AB15" s="525"/>
      <c r="AC15" s="525"/>
      <c r="AD15" s="525"/>
      <c r="AE15" s="525"/>
      <c r="AF15" s="525"/>
      <c r="AG15" s="525"/>
      <c r="AH15" s="525"/>
      <c r="AI15" s="525"/>
      <c r="AJ15" s="525"/>
      <c r="AK15" s="525"/>
      <c r="AL15" s="525"/>
    </row>
    <row r="16" spans="1:38" ht="15" customHeight="1">
      <c r="A16" s="529"/>
      <c r="B16" s="61"/>
      <c r="C16" s="724"/>
      <c r="D16" s="353"/>
      <c r="E16" s="495" t="s">
        <v>103</v>
      </c>
      <c r="F16" s="98"/>
      <c r="G16" s="98"/>
      <c r="H16" s="98"/>
      <c r="I16" s="98"/>
      <c r="J16" s="98"/>
      <c r="K16" s="98" t="s">
        <v>18</v>
      </c>
      <c r="L16" s="98"/>
      <c r="M16" s="528"/>
      <c r="N16" s="1541"/>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30"/>
  <sheetViews>
    <sheetView showGridLines="0" topLeftCell="C4" zoomScale="90" workbookViewId="0"/>
  </sheetViews>
  <sheetFormatPr defaultColWidth="9.140625" defaultRowHeight="11.25" customHeight="1"/>
  <cols>
    <col min="1" max="2" width="3.7109375" style="1849" hidden="1" customWidth="1"/>
    <col min="3" max="3" width="3.7109375" style="1850" customWidth="1"/>
    <col min="4" max="4" width="6.140625" style="1850" customWidth="1"/>
    <col min="5" max="5" width="43.140625" style="1850" customWidth="1"/>
    <col min="6" max="6" width="15" style="1843" customWidth="1"/>
    <col min="7" max="7" width="43.140625" style="1850" customWidth="1"/>
    <col min="8" max="8" width="3.7109375" style="1850" customWidth="1"/>
    <col min="9" max="9" width="5.42578125" style="1850" customWidth="1"/>
    <col min="10" max="10" width="47.85546875" style="1850" customWidth="1"/>
    <col min="11" max="12" width="3.7109375" style="1850" customWidth="1"/>
    <col min="13" max="13" width="5.7109375" style="1850" customWidth="1"/>
    <col min="14" max="14" width="28.140625" style="1850" customWidth="1"/>
    <col min="15" max="16" width="3.7109375" style="1850" customWidth="1"/>
    <col min="17" max="17" width="5.7109375" style="1850" customWidth="1"/>
    <col min="18" max="18" width="34.42578125" style="1850" customWidth="1"/>
    <col min="19" max="20" width="3.7109375" style="1851" hidden="1" customWidth="1"/>
    <col min="21" max="21" width="5.7109375" style="1851" hidden="1" customWidth="1"/>
    <col min="22" max="22" width="34.42578125" style="1851" hidden="1" customWidth="1"/>
    <col min="23" max="23" width="30.7109375" style="1850" customWidth="1"/>
    <col min="24" max="24" width="3.7109375" style="1850" customWidth="1"/>
    <col min="25" max="28" width="9.85546875" style="1838" hidden="1" customWidth="1"/>
    <col min="29" max="29" width="27" style="1838" hidden="1" customWidth="1"/>
    <col min="30" max="30" width="10.5703125" style="1838" hidden="1" customWidth="1"/>
    <col min="31" max="31" width="10.7109375" style="1838" hidden="1" customWidth="1"/>
    <col min="32" max="32" width="10" style="1838" hidden="1" customWidth="1"/>
    <col min="33" max="33" width="12.85546875" style="1838" hidden="1" customWidth="1"/>
    <col min="34" max="34" width="10.28515625" style="1838" hidden="1" customWidth="1"/>
    <col min="35" max="35" width="15.85546875" style="1838" hidden="1" customWidth="1"/>
    <col min="36" max="36" width="19.42578125" style="1838" hidden="1" customWidth="1"/>
    <col min="37" max="37" width="11" style="1838" hidden="1" customWidth="1"/>
    <col min="38" max="38" width="23.5703125" style="1838" hidden="1" customWidth="1"/>
    <col min="39" max="39" width="23.85546875" style="1838" hidden="1" customWidth="1"/>
    <col min="40" max="40" width="25.28515625" style="1838" hidden="1" customWidth="1"/>
    <col min="41" max="41" width="16.85546875" style="1838" hidden="1" customWidth="1"/>
    <col min="42" max="42" width="29.5703125" style="1838" hidden="1" customWidth="1"/>
    <col min="43" max="43" width="29.85546875" style="1838" hidden="1" customWidth="1"/>
    <col min="44" max="44" width="9.140625" style="1850" hidden="1"/>
  </cols>
  <sheetData>
    <row r="1" spans="1:43" ht="11.25" hidden="1" customHeight="1">
      <c r="A1" s="78"/>
    </row>
    <row r="2" spans="1:43" ht="11.25" hidden="1" customHeight="1"/>
    <row r="3" spans="1:43" ht="11.25" hidden="1" customHeight="1"/>
    <row r="4" spans="1:43" ht="3" customHeight="1"/>
    <row r="5" spans="1:43" s="1836" customFormat="1" ht="29.25" customHeight="1">
      <c r="A5" s="76"/>
      <c r="B5" s="76"/>
      <c r="D5" s="206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068"/>
      <c r="F5" s="2068"/>
      <c r="G5" s="2068"/>
      <c r="H5" s="2068"/>
      <c r="I5" s="2068"/>
      <c r="J5" s="2069"/>
      <c r="K5" s="183"/>
      <c r="L5" s="67"/>
      <c r="M5" s="67"/>
      <c r="N5" s="67"/>
      <c r="O5" s="67"/>
      <c r="P5" s="67"/>
      <c r="Q5" s="67"/>
      <c r="R5" s="67"/>
      <c r="S5" s="207"/>
      <c r="T5" s="207"/>
      <c r="U5" s="207"/>
      <c r="V5" s="207"/>
      <c r="W5" s="67"/>
      <c r="Y5" s="1182"/>
      <c r="Z5" s="1182"/>
      <c r="AA5" s="1182"/>
      <c r="AB5" s="1182"/>
      <c r="AC5" s="1182"/>
      <c r="AD5" s="1182"/>
      <c r="AE5" s="1182"/>
      <c r="AF5" s="1182"/>
      <c r="AG5" s="1182"/>
      <c r="AH5" s="1182"/>
      <c r="AI5" s="1182"/>
      <c r="AJ5" s="1182"/>
      <c r="AK5" s="1182"/>
      <c r="AL5" s="1182"/>
      <c r="AM5" s="1182"/>
      <c r="AN5" s="1182"/>
      <c r="AO5" s="1182"/>
      <c r="AP5" s="1182"/>
      <c r="AQ5" s="1182"/>
    </row>
    <row r="6" spans="1:43" s="1828" customFormat="1" ht="15" customHeight="1">
      <c r="A6" s="508"/>
      <c r="B6" s="508"/>
      <c r="C6" s="508"/>
      <c r="D6" s="2073" t="str">
        <f>IF(org=0,"Не определено",org)</f>
        <v>ООО "Горводоканал"</v>
      </c>
      <c r="E6" s="2073"/>
      <c r="F6" s="2073"/>
      <c r="G6" s="2073"/>
      <c r="H6" s="2073"/>
      <c r="I6" s="2073"/>
      <c r="J6" s="2073"/>
      <c r="K6" s="509"/>
      <c r="L6" s="509"/>
      <c r="M6" s="509"/>
      <c r="N6" s="509"/>
      <c r="O6" s="784"/>
      <c r="P6" s="784"/>
      <c r="Q6" s="784"/>
      <c r="R6" s="784"/>
      <c r="S6" s="784"/>
      <c r="T6" s="784"/>
      <c r="U6" s="784"/>
      <c r="V6" s="784"/>
      <c r="W6" s="784"/>
      <c r="X6" s="509"/>
      <c r="Y6" s="1183"/>
      <c r="Z6" s="1183"/>
      <c r="AA6" s="1183"/>
      <c r="AB6" s="1183"/>
      <c r="AC6" s="1183"/>
      <c r="AD6" s="1183"/>
      <c r="AE6" s="1183"/>
      <c r="AF6" s="1183"/>
      <c r="AG6" s="1183"/>
      <c r="AH6" s="1183"/>
      <c r="AI6" s="1183"/>
      <c r="AJ6" s="1183"/>
      <c r="AK6" s="1183"/>
      <c r="AL6" s="1183"/>
      <c r="AM6" s="1183"/>
      <c r="AN6" s="1183"/>
      <c r="AO6" s="1183"/>
      <c r="AP6" s="1183"/>
      <c r="AQ6" s="1183"/>
    </row>
    <row r="7" spans="1:43" s="1837" customFormat="1" ht="11.25" customHeight="1">
      <c r="A7" s="132"/>
      <c r="B7" s="132"/>
      <c r="D7" s="2070"/>
      <c r="E7" s="2071"/>
      <c r="F7" s="2071"/>
      <c r="G7" s="2071"/>
      <c r="H7" s="2071"/>
      <c r="I7" s="2071"/>
      <c r="J7" s="2072"/>
      <c r="S7" s="216"/>
      <c r="T7" s="216"/>
      <c r="U7" s="216"/>
      <c r="V7" s="216"/>
      <c r="Y7" s="1184"/>
      <c r="Z7" s="1184"/>
      <c r="AA7" s="1184"/>
      <c r="AB7" s="1184"/>
      <c r="AC7" s="1184"/>
      <c r="AD7" s="1184"/>
      <c r="AE7" s="1184"/>
      <c r="AF7" s="1184"/>
      <c r="AG7" s="1184"/>
      <c r="AH7" s="1184"/>
      <c r="AI7" s="1184"/>
      <c r="AJ7" s="1184"/>
      <c r="AK7" s="1184"/>
      <c r="AL7" s="1184"/>
      <c r="AM7" s="1184"/>
      <c r="AN7" s="1184"/>
      <c r="AO7" s="1184"/>
      <c r="AP7" s="1184"/>
      <c r="AQ7" s="1184"/>
    </row>
    <row r="8" spans="1:43" s="1836" customFormat="1" ht="0.75" customHeight="1">
      <c r="A8" s="76"/>
      <c r="B8" s="76"/>
      <c r="D8" s="133"/>
      <c r="E8" s="133"/>
      <c r="F8" s="133"/>
      <c r="G8" s="133"/>
      <c r="H8" s="133"/>
      <c r="I8" s="133"/>
      <c r="J8" s="133"/>
      <c r="K8" s="133"/>
      <c r="L8" s="133"/>
      <c r="M8" s="133"/>
      <c r="N8" s="133"/>
      <c r="O8" s="133"/>
      <c r="P8" s="133"/>
      <c r="Q8" s="133"/>
      <c r="R8" s="133"/>
      <c r="S8" s="133"/>
      <c r="T8" s="133"/>
      <c r="U8" s="133"/>
      <c r="V8" s="133"/>
      <c r="W8" s="133"/>
      <c r="X8" s="58"/>
      <c r="Y8" s="1182"/>
      <c r="Z8" s="1182"/>
      <c r="AA8" s="1182"/>
      <c r="AB8" s="1182"/>
      <c r="AC8" s="1182"/>
      <c r="AD8" s="1182"/>
      <c r="AE8" s="1182"/>
      <c r="AF8" s="1182"/>
      <c r="AG8" s="1182"/>
      <c r="AH8" s="1182"/>
      <c r="AI8" s="1182"/>
      <c r="AJ8" s="1182"/>
      <c r="AK8" s="1182"/>
      <c r="AL8" s="1182"/>
      <c r="AM8" s="1182"/>
      <c r="AN8" s="1182"/>
      <c r="AO8" s="1182"/>
      <c r="AP8" s="1182"/>
      <c r="AQ8" s="1182"/>
    </row>
    <row r="9" spans="1:43" ht="27" customHeight="1">
      <c r="D9" s="2019" t="s">
        <v>73</v>
      </c>
      <c r="E9" s="2001" t="s">
        <v>104</v>
      </c>
      <c r="F9" s="2000"/>
      <c r="G9" s="2019" t="s">
        <v>87</v>
      </c>
      <c r="H9" s="2019" t="s">
        <v>73</v>
      </c>
      <c r="I9" s="2019"/>
      <c r="J9" s="2019" t="s">
        <v>105</v>
      </c>
      <c r="K9" s="2074" t="s">
        <v>106</v>
      </c>
      <c r="L9" s="2074"/>
      <c r="M9" s="2074"/>
      <c r="N9" s="2074"/>
      <c r="O9" s="2074" t="s">
        <v>107</v>
      </c>
      <c r="P9" s="2074"/>
      <c r="Q9" s="2074"/>
      <c r="R9" s="2074"/>
      <c r="S9" s="2074" t="s">
        <v>108</v>
      </c>
      <c r="T9" s="2074"/>
      <c r="U9" s="2074"/>
      <c r="V9" s="2074"/>
      <c r="W9" s="2019" t="s">
        <v>109</v>
      </c>
    </row>
    <row r="10" spans="1:43" ht="30" customHeight="1">
      <c r="D10" s="2019"/>
      <c r="E10" s="1205" t="s">
        <v>74</v>
      </c>
      <c r="F10" s="1205" t="s">
        <v>110</v>
      </c>
      <c r="G10" s="2019"/>
      <c r="H10" s="2019"/>
      <c r="I10" s="2019"/>
      <c r="J10" s="2019"/>
      <c r="K10" s="41" t="s">
        <v>90</v>
      </c>
      <c r="L10" s="2019" t="s">
        <v>73</v>
      </c>
      <c r="M10" s="2019"/>
      <c r="N10" s="41" t="s">
        <v>111</v>
      </c>
      <c r="O10" s="41" t="s">
        <v>90</v>
      </c>
      <c r="P10" s="2019" t="s">
        <v>73</v>
      </c>
      <c r="Q10" s="2019"/>
      <c r="R10" s="41" t="s">
        <v>111</v>
      </c>
      <c r="S10" s="200" t="s">
        <v>90</v>
      </c>
      <c r="T10" s="2019" t="s">
        <v>73</v>
      </c>
      <c r="U10" s="2019"/>
      <c r="V10" s="200" t="s">
        <v>74</v>
      </c>
      <c r="W10" s="2019"/>
      <c r="Z10" s="1181" t="s">
        <v>112</v>
      </c>
      <c r="AA10" s="1181" t="s">
        <v>113</v>
      </c>
      <c r="AB10" s="1181" t="s">
        <v>114</v>
      </c>
      <c r="AC10" s="1181" t="s">
        <v>115</v>
      </c>
      <c r="AD10" s="1181" t="s">
        <v>116</v>
      </c>
      <c r="AE10" s="1181" t="s">
        <v>117</v>
      </c>
      <c r="AF10" s="1181" t="s">
        <v>118</v>
      </c>
      <c r="AG10" s="1181" t="s">
        <v>119</v>
      </c>
      <c r="AH10" s="1181" t="s">
        <v>120</v>
      </c>
      <c r="AI10" s="1181" t="s">
        <v>121</v>
      </c>
      <c r="AJ10" s="1181" t="s">
        <v>122</v>
      </c>
      <c r="AK10" s="1181" t="s">
        <v>123</v>
      </c>
      <c r="AL10" s="1181" t="s">
        <v>124</v>
      </c>
      <c r="AM10" s="1181" t="s">
        <v>125</v>
      </c>
      <c r="AN10" s="1181" t="s">
        <v>126</v>
      </c>
      <c r="AO10" s="1181" t="s">
        <v>127</v>
      </c>
      <c r="AP10" s="1181" t="s">
        <v>128</v>
      </c>
      <c r="AQ10" s="1181" t="s">
        <v>129</v>
      </c>
    </row>
    <row r="11" spans="1:43" s="1839" customFormat="1" ht="12" hidden="1" customHeight="1">
      <c r="D11" s="1161" t="s">
        <v>91</v>
      </c>
      <c r="E11" s="1161" t="s">
        <v>92</v>
      </c>
      <c r="F11" s="1161"/>
      <c r="G11" s="1161" t="s">
        <v>75</v>
      </c>
      <c r="H11" s="2066" t="s">
        <v>93</v>
      </c>
      <c r="I11" s="2066"/>
      <c r="J11" s="1161" t="s">
        <v>77</v>
      </c>
      <c r="K11" s="1161" t="s">
        <v>78</v>
      </c>
      <c r="L11" s="2066" t="s">
        <v>94</v>
      </c>
      <c r="M11" s="2066"/>
      <c r="N11" s="1161" t="s">
        <v>130</v>
      </c>
      <c r="O11" s="1161" t="s">
        <v>131</v>
      </c>
      <c r="P11" s="2066" t="s">
        <v>132</v>
      </c>
      <c r="Q11" s="2066"/>
      <c r="R11" s="1161" t="s">
        <v>133</v>
      </c>
      <c r="S11" s="1161" t="s">
        <v>132</v>
      </c>
      <c r="T11" s="2066" t="s">
        <v>133</v>
      </c>
      <c r="U11" s="2066"/>
      <c r="V11" s="1161" t="s">
        <v>134</v>
      </c>
      <c r="W11" s="1161" t="s">
        <v>135</v>
      </c>
      <c r="Y11" s="1181"/>
      <c r="Z11" s="1181"/>
      <c r="AA11" s="1181"/>
      <c r="AB11" s="1181"/>
      <c r="AC11" s="1181"/>
      <c r="AD11" s="1181"/>
      <c r="AE11" s="1181"/>
      <c r="AF11" s="1181"/>
      <c r="AG11" s="1181"/>
      <c r="AH11" s="1181"/>
      <c r="AI11" s="1181"/>
      <c r="AJ11" s="1181"/>
      <c r="AK11" s="1181"/>
      <c r="AL11" s="1181"/>
      <c r="AM11" s="1181"/>
      <c r="AN11" s="1181"/>
      <c r="AO11" s="1181"/>
      <c r="AP11" s="1181"/>
      <c r="AQ11" s="1181"/>
    </row>
    <row r="12" spans="1:43" ht="14.25" hidden="1" customHeight="1">
      <c r="C12" s="130"/>
      <c r="D12" s="1204">
        <v>0</v>
      </c>
      <c r="E12" s="168"/>
      <c r="F12" s="168"/>
      <c r="G12" s="168"/>
      <c r="H12" s="169"/>
      <c r="I12" s="169"/>
      <c r="J12" s="80"/>
      <c r="K12" s="42"/>
      <c r="L12" s="80"/>
      <c r="M12" s="80"/>
      <c r="N12" s="170"/>
      <c r="O12" s="42"/>
      <c r="P12" s="80"/>
      <c r="Q12" s="80"/>
      <c r="R12" s="171"/>
      <c r="S12" s="201"/>
      <c r="T12" s="209"/>
      <c r="U12" s="209"/>
      <c r="V12" s="213"/>
      <c r="W12" s="42"/>
      <c r="X12" s="66"/>
    </row>
    <row r="13" spans="1:43" s="1840" customFormat="1" ht="17.25" hidden="1" customHeight="1">
      <c r="A13" s="243"/>
      <c r="C13" s="130"/>
      <c r="D13" s="2039">
        <v>1</v>
      </c>
      <c r="E13" s="2041" t="s">
        <v>136</v>
      </c>
      <c r="F13" s="2043" t="s">
        <v>48</v>
      </c>
      <c r="G13" s="2041"/>
      <c r="H13" s="2046"/>
      <c r="I13" s="2048"/>
      <c r="J13" s="2050"/>
      <c r="K13" s="2037"/>
      <c r="L13" s="2037"/>
      <c r="M13" s="2037"/>
      <c r="N13" s="2053"/>
      <c r="O13" s="2037"/>
      <c r="P13" s="2037"/>
      <c r="Q13" s="2037"/>
      <c r="R13" s="2056"/>
      <c r="S13" s="2037"/>
      <c r="T13" s="1337"/>
      <c r="U13" s="1337"/>
      <c r="V13" s="1336"/>
      <c r="W13" s="1217"/>
      <c r="Y13" s="1188"/>
      <c r="Z13" s="1188"/>
      <c r="AA13" s="1188"/>
      <c r="AB13" s="1188"/>
      <c r="AC13" s="1188" t="s">
        <v>137</v>
      </c>
      <c r="AD13" s="1188" t="s">
        <v>138</v>
      </c>
      <c r="AE13" s="1188" t="s">
        <v>139</v>
      </c>
      <c r="AF13" s="1188" t="s">
        <v>140</v>
      </c>
      <c r="AG13" s="1188" t="s">
        <v>141</v>
      </c>
      <c r="AH13" s="118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88" t="str">
        <f>IF($G$13=0,"",$G$13)</f>
        <v/>
      </c>
      <c r="AJ13" s="1188" t="str">
        <f>IF($J$13=0,"",$J$13)</f>
        <v/>
      </c>
      <c r="AK13" s="1188" t="str">
        <f>IF($K$13="нет","без дифференциации",IF($N$13=0,"",$N$13))</f>
        <v/>
      </c>
      <c r="AL13" s="1188" t="str">
        <f>IF($O$13="нет","без дифференциации",IF($R$13=0,"",$R$13))</f>
        <v/>
      </c>
      <c r="AM13" s="1188" t="str">
        <f>IF($S$13="нет","без дифференциации",IF($V$13=0,"",$V$13))</f>
        <v/>
      </c>
      <c r="AN13" s="1188">
        <f>$I$13</f>
        <v>0</v>
      </c>
      <c r="AO13" s="1188" t="str">
        <f>$I$13&amp;"."&amp;$M$13</f>
        <v>.</v>
      </c>
      <c r="AP13" s="1188" t="str">
        <f>$I$13&amp;"."&amp;$M$13&amp;"."&amp;$Q$13</f>
        <v>..</v>
      </c>
      <c r="AQ13" s="1188" t="str">
        <f>$I$13&amp;"."&amp;$M$13&amp;"."&amp;$Q$13&amp;"."&amp;$U$13</f>
        <v>...</v>
      </c>
    </row>
    <row r="14" spans="1:43" s="1840" customFormat="1" ht="17.25" hidden="1" customHeight="1">
      <c r="A14" s="243"/>
      <c r="C14" s="242"/>
      <c r="D14" s="2039"/>
      <c r="E14" s="2041"/>
      <c r="F14" s="2044"/>
      <c r="G14" s="2041"/>
      <c r="H14" s="2047"/>
      <c r="I14" s="2049"/>
      <c r="J14" s="2051"/>
      <c r="K14" s="2038"/>
      <c r="L14" s="2038"/>
      <c r="M14" s="2038"/>
      <c r="N14" s="2054"/>
      <c r="O14" s="2038"/>
      <c r="P14" s="2038"/>
      <c r="Q14" s="2038"/>
      <c r="R14" s="2055"/>
      <c r="S14" s="2038"/>
      <c r="T14" s="1218"/>
      <c r="U14" s="1218"/>
      <c r="V14" s="1218"/>
      <c r="W14" s="1219"/>
      <c r="Y14" s="1181"/>
      <c r="Z14" s="1181"/>
      <c r="AA14" s="1181"/>
      <c r="AB14" s="1181"/>
      <c r="AC14" s="1181"/>
      <c r="AD14" s="1181"/>
      <c r="AE14" s="1181"/>
      <c r="AF14" s="1181"/>
      <c r="AG14" s="1181"/>
      <c r="AH14" s="1181"/>
      <c r="AI14" s="1181"/>
      <c r="AJ14" s="1181"/>
      <c r="AK14" s="1181"/>
      <c r="AL14" s="1181"/>
      <c r="AM14" s="1181"/>
      <c r="AN14" s="1181"/>
      <c r="AO14" s="1181"/>
      <c r="AP14" s="1181"/>
      <c r="AQ14" s="1181"/>
    </row>
    <row r="15" spans="1:43" s="1841" customFormat="1" ht="17.25" hidden="1" customHeight="1">
      <c r="A15" s="243"/>
      <c r="C15" s="130"/>
      <c r="D15" s="2039"/>
      <c r="E15" s="2041"/>
      <c r="F15" s="2044"/>
      <c r="G15" s="2041"/>
      <c r="H15" s="2047"/>
      <c r="I15" s="2049"/>
      <c r="J15" s="2052"/>
      <c r="K15" s="2038"/>
      <c r="L15" s="2038"/>
      <c r="M15" s="2038"/>
      <c r="N15" s="2055"/>
      <c r="O15" s="2038"/>
      <c r="P15" s="1335"/>
      <c r="Q15" s="1218"/>
      <c r="R15" s="1218"/>
      <c r="S15" s="254"/>
      <c r="T15" s="254"/>
      <c r="U15" s="254"/>
      <c r="V15" s="254"/>
      <c r="W15" s="1219"/>
      <c r="Y15" s="1188"/>
      <c r="Z15" s="1188"/>
      <c r="AA15" s="1188"/>
      <c r="AB15" s="1188"/>
      <c r="AC15" s="1188"/>
      <c r="AD15" s="1188"/>
      <c r="AE15" s="1188"/>
      <c r="AF15" s="1188"/>
      <c r="AG15" s="1188"/>
      <c r="AH15" s="1188"/>
      <c r="AI15" s="1188"/>
      <c r="AJ15" s="1188"/>
      <c r="AK15" s="1188"/>
      <c r="AL15" s="1188"/>
      <c r="AM15" s="1188"/>
      <c r="AN15" s="1188"/>
      <c r="AO15" s="1188"/>
      <c r="AP15" s="1188"/>
      <c r="AQ15" s="1188"/>
    </row>
    <row r="16" spans="1:43" s="1841" customFormat="1" ht="17.25" hidden="1" customHeight="1">
      <c r="A16" s="243"/>
      <c r="C16" s="242"/>
      <c r="D16" s="2039"/>
      <c r="E16" s="2041"/>
      <c r="F16" s="2044"/>
      <c r="G16" s="2041"/>
      <c r="H16" s="2047"/>
      <c r="I16" s="2049"/>
      <c r="J16" s="2052"/>
      <c r="K16" s="2038"/>
      <c r="L16" s="1218"/>
      <c r="M16" s="1218"/>
      <c r="N16" s="1218"/>
      <c r="O16" s="1218"/>
      <c r="P16" s="1218"/>
      <c r="Q16" s="1218"/>
      <c r="R16" s="1218"/>
      <c r="S16" s="254"/>
      <c r="T16" s="254"/>
      <c r="U16" s="254"/>
      <c r="V16" s="254"/>
      <c r="W16" s="1219"/>
      <c r="Y16" s="1181"/>
      <c r="Z16" s="1181"/>
      <c r="AA16" s="1181"/>
      <c r="AB16" s="1181"/>
      <c r="AC16" s="1181"/>
      <c r="AD16" s="1181"/>
      <c r="AE16" s="1181"/>
      <c r="AF16" s="1181"/>
      <c r="AG16" s="1181"/>
      <c r="AH16" s="1181"/>
      <c r="AI16" s="1181"/>
      <c r="AJ16" s="1181"/>
      <c r="AK16" s="1181"/>
      <c r="AL16" s="1181"/>
      <c r="AM16" s="1181"/>
      <c r="AN16" s="1181"/>
      <c r="AO16" s="1181"/>
      <c r="AP16" s="1181"/>
      <c r="AQ16" s="1181"/>
    </row>
    <row r="17" spans="1:43" s="1840" customFormat="1" ht="17.25" hidden="1" customHeight="1">
      <c r="A17" s="243"/>
      <c r="C17" s="242"/>
      <c r="D17" s="2040"/>
      <c r="E17" s="2042"/>
      <c r="F17" s="2045"/>
      <c r="G17" s="2042"/>
      <c r="H17" s="1220"/>
      <c r="I17" s="1221"/>
      <c r="J17" s="1221"/>
      <c r="K17" s="1221"/>
      <c r="L17" s="1221"/>
      <c r="M17" s="1221"/>
      <c r="N17" s="1221"/>
      <c r="O17" s="1221"/>
      <c r="P17" s="1221"/>
      <c r="Q17" s="1221"/>
      <c r="R17" s="1221"/>
      <c r="S17" s="1222"/>
      <c r="T17" s="1222"/>
      <c r="U17" s="1222"/>
      <c r="V17" s="1222"/>
      <c r="W17" s="1223"/>
      <c r="Y17" s="1181"/>
      <c r="Z17" s="1181"/>
      <c r="AA17" s="1181"/>
      <c r="AB17" s="1181"/>
      <c r="AC17" s="1181"/>
      <c r="AD17" s="1181"/>
      <c r="AE17" s="1181"/>
      <c r="AF17" s="1181"/>
      <c r="AG17" s="1181"/>
      <c r="AH17" s="1181"/>
      <c r="AI17" s="1181"/>
      <c r="AJ17" s="1181"/>
      <c r="AK17" s="1181"/>
      <c r="AL17" s="1181"/>
      <c r="AM17" s="1181"/>
      <c r="AN17" s="1181"/>
      <c r="AO17" s="1181"/>
      <c r="AP17" s="1181"/>
      <c r="AQ17" s="1181"/>
    </row>
    <row r="18" spans="1:43" s="1843" customFormat="1" ht="17.25" hidden="1" customHeight="1">
      <c r="A18" s="243"/>
      <c r="C18" s="130"/>
      <c r="D18" s="2039">
        <v>2</v>
      </c>
      <c r="E18" s="2041" t="s">
        <v>142</v>
      </c>
      <c r="F18" s="2043" t="s">
        <v>48</v>
      </c>
      <c r="G18" s="2041"/>
      <c r="H18" s="2046"/>
      <c r="I18" s="2048"/>
      <c r="J18" s="2050"/>
      <c r="K18" s="2037"/>
      <c r="L18" s="2037"/>
      <c r="M18" s="2037"/>
      <c r="N18" s="2053"/>
      <c r="O18" s="2037"/>
      <c r="P18" s="2037"/>
      <c r="Q18" s="2037"/>
      <c r="R18" s="2056"/>
      <c r="S18" s="2037"/>
      <c r="T18" s="1337"/>
      <c r="U18" s="1337"/>
      <c r="V18" s="1336"/>
      <c r="W18" s="1217"/>
      <c r="X18" s="1188"/>
      <c r="Y18" s="1188"/>
      <c r="Z18" s="1188"/>
      <c r="AA18" s="1188"/>
      <c r="AB18" s="1188"/>
      <c r="AC18" s="1188" t="s">
        <v>143</v>
      </c>
      <c r="AD18" s="1188" t="s">
        <v>144</v>
      </c>
      <c r="AE18" s="1188" t="s">
        <v>145</v>
      </c>
      <c r="AF18" s="1188" t="s">
        <v>146</v>
      </c>
      <c r="AG18" s="1188" t="s">
        <v>147</v>
      </c>
      <c r="AH18" s="1188" t="str">
        <f>IF($E$18=0,"",$E$18)</f>
        <v>Тарифы на тепловую энергию (мощность), поставляемую теплоснабжающими организациями потребителям, другим теплоснабжающим организациям</v>
      </c>
      <c r="AI18" s="1188" t="str">
        <f>IF($G$18=0,"",$G$18)</f>
        <v/>
      </c>
      <c r="AJ18" s="1188" t="str">
        <f>IF($J$18=0,"",$J$18)</f>
        <v/>
      </c>
      <c r="AK18" s="1188" t="str">
        <f>IF($K$18="нет","без дифференциации",IF($N$18=0,"",$N$18))</f>
        <v/>
      </c>
      <c r="AL18" s="1188" t="str">
        <f>IF($O$18="нет","без дифференциации",IF($R$18=0,"",$R$18))</f>
        <v/>
      </c>
      <c r="AM18" s="1188" t="str">
        <f>IF($S$18="нет","без дифференциации",IF($V$18=0,"",$V$18))</f>
        <v/>
      </c>
      <c r="AN18" s="1684">
        <f>$I$18</f>
        <v>0</v>
      </c>
      <c r="AO18" s="1188" t="str">
        <f>$I$18&amp;"."&amp;$M$18</f>
        <v>.</v>
      </c>
      <c r="AP18" s="1181" t="str">
        <f>$I$18&amp;"."&amp;$M$18&amp;"."&amp;$Q$18</f>
        <v>..</v>
      </c>
      <c r="AQ18" s="1181" t="str">
        <f>$I$18&amp;"."&amp;$M$18&amp;"."&amp;$Q$18&amp;"."&amp;$U$18</f>
        <v>...</v>
      </c>
    </row>
    <row r="19" spans="1:43" s="1843" customFormat="1" ht="17.25" hidden="1" customHeight="1">
      <c r="A19" s="243"/>
      <c r="C19" s="242"/>
      <c r="D19" s="2039"/>
      <c r="E19" s="2041"/>
      <c r="F19" s="2044"/>
      <c r="G19" s="2041"/>
      <c r="H19" s="2047"/>
      <c r="I19" s="2049"/>
      <c r="J19" s="2051"/>
      <c r="K19" s="2038"/>
      <c r="L19" s="2038"/>
      <c r="M19" s="2038"/>
      <c r="N19" s="2054"/>
      <c r="O19" s="2038"/>
      <c r="P19" s="2038"/>
      <c r="Q19" s="2038"/>
      <c r="R19" s="2055"/>
      <c r="S19" s="2038"/>
      <c r="T19" s="1218"/>
      <c r="U19" s="1218"/>
      <c r="V19" s="1218"/>
      <c r="W19" s="1219"/>
      <c r="X19" s="1181"/>
      <c r="Y19" s="1181"/>
      <c r="Z19" s="1181"/>
      <c r="AA19" s="1181"/>
      <c r="AB19" s="1181"/>
      <c r="AC19" s="1181"/>
      <c r="AD19" s="1181"/>
      <c r="AE19" s="1181"/>
      <c r="AF19" s="1181"/>
      <c r="AG19" s="1181"/>
      <c r="AH19" s="1181"/>
      <c r="AI19" s="1181"/>
      <c r="AJ19" s="1181"/>
      <c r="AK19" s="1181"/>
      <c r="AL19" s="1181"/>
      <c r="AM19" s="1181"/>
      <c r="AN19" s="1181"/>
      <c r="AO19" s="1181"/>
      <c r="AP19" s="1181"/>
      <c r="AQ19" s="1181"/>
    </row>
    <row r="20" spans="1:43" s="1843" customFormat="1" ht="17.25" hidden="1" customHeight="1">
      <c r="A20" s="243"/>
      <c r="C20" s="242"/>
      <c r="D20" s="2040"/>
      <c r="E20" s="2042"/>
      <c r="F20" s="2044"/>
      <c r="G20" s="2042"/>
      <c r="H20" s="2047"/>
      <c r="I20" s="2049"/>
      <c r="J20" s="2052"/>
      <c r="K20" s="2038"/>
      <c r="L20" s="2038"/>
      <c r="M20" s="2038"/>
      <c r="N20" s="2055"/>
      <c r="O20" s="2038"/>
      <c r="P20" s="1335"/>
      <c r="Q20" s="1218"/>
      <c r="R20" s="1218"/>
      <c r="S20" s="254"/>
      <c r="T20" s="254"/>
      <c r="U20" s="254"/>
      <c r="V20" s="254"/>
      <c r="W20" s="1219"/>
      <c r="X20" s="1181"/>
      <c r="Y20" s="1181"/>
      <c r="Z20" s="1181"/>
      <c r="AA20" s="1181"/>
      <c r="AB20" s="1181"/>
      <c r="AC20" s="1181"/>
      <c r="AD20" s="1181"/>
      <c r="AE20" s="1181"/>
      <c r="AF20" s="1181"/>
      <c r="AG20" s="1181"/>
      <c r="AH20" s="1181"/>
      <c r="AI20" s="1181"/>
      <c r="AJ20" s="1181"/>
      <c r="AK20" s="1181"/>
      <c r="AL20" s="1181"/>
      <c r="AM20" s="1181"/>
      <c r="AN20" s="1181"/>
      <c r="AO20" s="1181"/>
      <c r="AP20" s="1181"/>
      <c r="AQ20" s="1181"/>
    </row>
    <row r="21" spans="1:43" s="1843" customFormat="1" ht="17.25" hidden="1" customHeight="1">
      <c r="A21" s="243"/>
      <c r="C21" s="242"/>
      <c r="D21" s="2040"/>
      <c r="E21" s="2042"/>
      <c r="F21" s="2044"/>
      <c r="G21" s="2042"/>
      <c r="H21" s="2047"/>
      <c r="I21" s="2049"/>
      <c r="J21" s="2052"/>
      <c r="K21" s="2038"/>
      <c r="L21" s="1218"/>
      <c r="M21" s="1218"/>
      <c r="N21" s="1218"/>
      <c r="O21" s="1218"/>
      <c r="P21" s="1218"/>
      <c r="Q21" s="1218"/>
      <c r="R21" s="1218"/>
      <c r="S21" s="254"/>
      <c r="T21" s="254"/>
      <c r="U21" s="254"/>
      <c r="V21" s="254"/>
      <c r="W21" s="1219"/>
      <c r="X21" s="1181"/>
      <c r="Y21" s="1181"/>
      <c r="Z21" s="1181"/>
      <c r="AA21" s="1181"/>
      <c r="AB21" s="1181"/>
      <c r="AC21" s="1181"/>
      <c r="AD21" s="1181"/>
      <c r="AE21" s="1181"/>
      <c r="AF21" s="1181"/>
      <c r="AG21" s="1181"/>
      <c r="AH21" s="1181"/>
      <c r="AI21" s="1181"/>
      <c r="AJ21" s="1181"/>
      <c r="AK21" s="1181"/>
      <c r="AL21" s="1181"/>
      <c r="AM21" s="1181"/>
      <c r="AN21" s="1181"/>
      <c r="AO21" s="1181"/>
      <c r="AP21" s="1181"/>
      <c r="AQ21" s="1181"/>
    </row>
    <row r="22" spans="1:43" s="1843" customFormat="1" ht="17.25" hidden="1" customHeight="1">
      <c r="A22" s="243"/>
      <c r="C22" s="242"/>
      <c r="D22" s="2040"/>
      <c r="E22" s="2042"/>
      <c r="F22" s="2045"/>
      <c r="G22" s="2042"/>
      <c r="H22" s="1220"/>
      <c r="I22" s="1221"/>
      <c r="J22" s="1221"/>
      <c r="K22" s="1221"/>
      <c r="L22" s="1221"/>
      <c r="M22" s="1221"/>
      <c r="N22" s="1221"/>
      <c r="O22" s="1221"/>
      <c r="P22" s="1221"/>
      <c r="Q22" s="1221"/>
      <c r="R22" s="1221"/>
      <c r="S22" s="1222"/>
      <c r="T22" s="1222"/>
      <c r="U22" s="1222"/>
      <c r="V22" s="1222"/>
      <c r="W22" s="1223"/>
      <c r="X22" s="1181"/>
      <c r="Y22" s="1181"/>
      <c r="Z22" s="1181"/>
      <c r="AA22" s="1181"/>
      <c r="AB22" s="1181"/>
      <c r="AC22" s="1181"/>
      <c r="AD22" s="1181"/>
      <c r="AE22" s="1181"/>
      <c r="AF22" s="1181"/>
      <c r="AG22" s="1181"/>
      <c r="AH22" s="1181"/>
      <c r="AI22" s="1181"/>
      <c r="AJ22" s="1181"/>
      <c r="AK22" s="1181"/>
      <c r="AL22" s="1181"/>
      <c r="AM22" s="1181"/>
      <c r="AN22" s="1181"/>
      <c r="AO22" s="1181"/>
      <c r="AP22" s="1181"/>
      <c r="AQ22" s="1181"/>
    </row>
    <row r="23" spans="1:43" s="1843" customFormat="1" ht="17.25" hidden="1" customHeight="1">
      <c r="A23" s="243"/>
      <c r="C23" s="130"/>
      <c r="D23" s="2039">
        <v>3</v>
      </c>
      <c r="E23" s="2041" t="s">
        <v>148</v>
      </c>
      <c r="F23" s="2043" t="s">
        <v>48</v>
      </c>
      <c r="G23" s="2041"/>
      <c r="H23" s="2046"/>
      <c r="I23" s="2048"/>
      <c r="J23" s="2050"/>
      <c r="K23" s="2037"/>
      <c r="L23" s="2037"/>
      <c r="M23" s="2037"/>
      <c r="N23" s="2053"/>
      <c r="O23" s="2037"/>
      <c r="P23" s="2037"/>
      <c r="Q23" s="2037"/>
      <c r="R23" s="2056"/>
      <c r="S23" s="2037"/>
      <c r="T23" s="1337"/>
      <c r="U23" s="1337"/>
      <c r="V23" s="1336"/>
      <c r="W23" s="1217"/>
      <c r="X23" s="1188"/>
      <c r="Y23" s="1188"/>
      <c r="Z23" s="1188"/>
      <c r="AA23" s="1188"/>
      <c r="AB23" s="1188"/>
      <c r="AC23" s="1188" t="s">
        <v>149</v>
      </c>
      <c r="AD23" s="1188" t="s">
        <v>150</v>
      </c>
      <c r="AE23" s="1188" t="s">
        <v>151</v>
      </c>
      <c r="AF23" s="1188" t="s">
        <v>152</v>
      </c>
      <c r="AG23" s="1188" t="s">
        <v>153</v>
      </c>
      <c r="AH23" s="1188" t="str">
        <f>IF($E$23=0,"",$E$23)</f>
        <v>Тарифы на теплоноситель, поставляемый теплоснабжающими организациями потребителям, другим теплоснабжающим организациям</v>
      </c>
      <c r="AI23" s="1188" t="str">
        <f>IF($G$23=0,"",$G$23)</f>
        <v/>
      </c>
      <c r="AJ23" s="1188" t="str">
        <f>IF($J$23=0,"",$J$23)</f>
        <v/>
      </c>
      <c r="AK23" s="1188" t="str">
        <f>IF($K$23="нет","без дифференциации",IF($N$23=0,"",$N$23))</f>
        <v/>
      </c>
      <c r="AL23" s="1188" t="str">
        <f>IF($O$23="нет","без дифференциации",IF($R$23=0,"",$R$23))</f>
        <v/>
      </c>
      <c r="AM23" s="1188" t="str">
        <f>IF($S$23="нет","без дифференциации",IF($V$23=0,"",$V$23))</f>
        <v/>
      </c>
      <c r="AN23" s="1684">
        <f>$I$23</f>
        <v>0</v>
      </c>
      <c r="AO23" s="1188" t="str">
        <f>$I$23&amp;"."&amp;$M$23</f>
        <v>.</v>
      </c>
      <c r="AP23" s="1181" t="str">
        <f>$I$23&amp;"."&amp;$M$23&amp;"."&amp;$Q$23</f>
        <v>..</v>
      </c>
      <c r="AQ23" s="1181" t="str">
        <f>$I$23&amp;"."&amp;$M$23&amp;"."&amp;$Q$23&amp;"."&amp;$U$23</f>
        <v>...</v>
      </c>
    </row>
    <row r="24" spans="1:43" s="1843" customFormat="1" ht="17.25" hidden="1" customHeight="1">
      <c r="A24" s="243"/>
      <c r="C24" s="242"/>
      <c r="D24" s="2039"/>
      <c r="E24" s="2041"/>
      <c r="F24" s="2044"/>
      <c r="G24" s="2041"/>
      <c r="H24" s="2047"/>
      <c r="I24" s="2049"/>
      <c r="J24" s="2051"/>
      <c r="K24" s="2038"/>
      <c r="L24" s="2038"/>
      <c r="M24" s="2038"/>
      <c r="N24" s="2054"/>
      <c r="O24" s="2038"/>
      <c r="P24" s="2038"/>
      <c r="Q24" s="2038"/>
      <c r="R24" s="2055"/>
      <c r="S24" s="2038"/>
      <c r="T24" s="1218"/>
      <c r="U24" s="1218"/>
      <c r="V24" s="1218"/>
      <c r="W24" s="1219"/>
      <c r="X24" s="1181"/>
      <c r="Y24" s="1181"/>
      <c r="Z24" s="1181"/>
      <c r="AA24" s="1181"/>
      <c r="AB24" s="1181"/>
      <c r="AC24" s="1181"/>
      <c r="AD24" s="1181"/>
      <c r="AE24" s="1181"/>
      <c r="AF24" s="1181"/>
      <c r="AG24" s="1181"/>
      <c r="AH24" s="1181"/>
      <c r="AI24" s="1181"/>
      <c r="AJ24" s="1181"/>
      <c r="AK24" s="1181"/>
      <c r="AL24" s="1181"/>
      <c r="AM24" s="1181"/>
      <c r="AN24" s="1181"/>
      <c r="AO24" s="1181"/>
      <c r="AP24" s="1181"/>
      <c r="AQ24" s="1181"/>
    </row>
    <row r="25" spans="1:43" s="1843" customFormat="1" ht="17.25" hidden="1" customHeight="1">
      <c r="A25" s="243"/>
      <c r="C25" s="242"/>
      <c r="D25" s="2040"/>
      <c r="E25" s="2042"/>
      <c r="F25" s="2044"/>
      <c r="G25" s="2042"/>
      <c r="H25" s="2047"/>
      <c r="I25" s="2049"/>
      <c r="J25" s="2052"/>
      <c r="K25" s="2038"/>
      <c r="L25" s="2038"/>
      <c r="M25" s="2038"/>
      <c r="N25" s="2055"/>
      <c r="O25" s="2038"/>
      <c r="P25" s="1335"/>
      <c r="Q25" s="1218"/>
      <c r="R25" s="1218"/>
      <c r="S25" s="254"/>
      <c r="T25" s="254"/>
      <c r="U25" s="254"/>
      <c r="V25" s="254"/>
      <c r="W25" s="1219"/>
      <c r="X25" s="1181"/>
      <c r="Y25" s="1181"/>
      <c r="Z25" s="1181"/>
      <c r="AA25" s="1181"/>
      <c r="AB25" s="1181"/>
      <c r="AC25" s="1181"/>
      <c r="AD25" s="1181"/>
      <c r="AE25" s="1181"/>
      <c r="AF25" s="1181"/>
      <c r="AG25" s="1181"/>
      <c r="AH25" s="1181"/>
      <c r="AI25" s="1181"/>
      <c r="AJ25" s="1181"/>
      <c r="AK25" s="1181"/>
      <c r="AL25" s="1181"/>
      <c r="AM25" s="1181"/>
      <c r="AN25" s="1181"/>
      <c r="AO25" s="1181"/>
      <c r="AP25" s="1181"/>
      <c r="AQ25" s="1181"/>
    </row>
    <row r="26" spans="1:43" s="1843" customFormat="1" ht="17.25" hidden="1" customHeight="1">
      <c r="A26" s="243"/>
      <c r="C26" s="242"/>
      <c r="D26" s="2040"/>
      <c r="E26" s="2042"/>
      <c r="F26" s="2044"/>
      <c r="G26" s="2042"/>
      <c r="H26" s="2047"/>
      <c r="I26" s="2049"/>
      <c r="J26" s="2052"/>
      <c r="K26" s="2038"/>
      <c r="L26" s="1218"/>
      <c r="M26" s="1218"/>
      <c r="N26" s="1218"/>
      <c r="O26" s="1218"/>
      <c r="P26" s="1218"/>
      <c r="Q26" s="1218"/>
      <c r="R26" s="1218"/>
      <c r="S26" s="254"/>
      <c r="T26" s="254"/>
      <c r="U26" s="254"/>
      <c r="V26" s="254"/>
      <c r="W26" s="1219"/>
      <c r="X26" s="1181"/>
      <c r="Y26" s="1181"/>
      <c r="Z26" s="1181"/>
      <c r="AA26" s="1181"/>
      <c r="AB26" s="1181"/>
      <c r="AC26" s="1181"/>
      <c r="AD26" s="1181"/>
      <c r="AE26" s="1181"/>
      <c r="AF26" s="1181"/>
      <c r="AG26" s="1181"/>
      <c r="AH26" s="1181"/>
      <c r="AI26" s="1181"/>
      <c r="AJ26" s="1181"/>
      <c r="AK26" s="1181"/>
      <c r="AL26" s="1181"/>
      <c r="AM26" s="1181"/>
      <c r="AN26" s="1181"/>
      <c r="AO26" s="1181"/>
      <c r="AP26" s="1181"/>
      <c r="AQ26" s="1181"/>
    </row>
    <row r="27" spans="1:43" s="1843" customFormat="1" ht="17.25" hidden="1" customHeight="1">
      <c r="A27" s="243"/>
      <c r="C27" s="242"/>
      <c r="D27" s="2040"/>
      <c r="E27" s="2042"/>
      <c r="F27" s="2045"/>
      <c r="G27" s="2042"/>
      <c r="H27" s="1220"/>
      <c r="I27" s="1221"/>
      <c r="J27" s="1221"/>
      <c r="K27" s="1221"/>
      <c r="L27" s="1221"/>
      <c r="M27" s="1221"/>
      <c r="N27" s="1221"/>
      <c r="O27" s="1221"/>
      <c r="P27" s="1221"/>
      <c r="Q27" s="1221"/>
      <c r="R27" s="1221"/>
      <c r="S27" s="1222"/>
      <c r="T27" s="1222"/>
      <c r="U27" s="1222"/>
      <c r="V27" s="1222"/>
      <c r="W27" s="1223"/>
      <c r="X27" s="1181"/>
      <c r="Y27" s="1181"/>
      <c r="Z27" s="1181"/>
      <c r="AA27" s="1181"/>
      <c r="AB27" s="1181"/>
      <c r="AC27" s="1181"/>
      <c r="AD27" s="1181"/>
      <c r="AE27" s="1181"/>
      <c r="AF27" s="1181"/>
      <c r="AG27" s="1181"/>
      <c r="AH27" s="1181"/>
      <c r="AI27" s="1181"/>
      <c r="AJ27" s="1181"/>
      <c r="AK27" s="1181"/>
      <c r="AL27" s="1181"/>
      <c r="AM27" s="1181"/>
      <c r="AN27" s="1181"/>
      <c r="AO27" s="1181"/>
      <c r="AP27" s="1181"/>
      <c r="AQ27" s="1181"/>
    </row>
    <row r="28" spans="1:43" s="1843" customFormat="1" ht="17.25" hidden="1" customHeight="1">
      <c r="A28" s="243"/>
      <c r="C28" s="130"/>
      <c r="D28" s="2039">
        <v>4</v>
      </c>
      <c r="E28" s="2041" t="s">
        <v>154</v>
      </c>
      <c r="F28" s="2043" t="s">
        <v>48</v>
      </c>
      <c r="G28" s="2041"/>
      <c r="H28" s="2046"/>
      <c r="I28" s="2048"/>
      <c r="J28" s="2050"/>
      <c r="K28" s="2037"/>
      <c r="L28" s="2037"/>
      <c r="M28" s="2037"/>
      <c r="N28" s="2053"/>
      <c r="O28" s="2037"/>
      <c r="P28" s="2037"/>
      <c r="Q28" s="2037"/>
      <c r="R28" s="2056"/>
      <c r="S28" s="2037"/>
      <c r="T28" s="1337"/>
      <c r="U28" s="1337"/>
      <c r="V28" s="1336"/>
      <c r="W28" s="1217"/>
      <c r="X28" s="1188"/>
      <c r="Y28" s="1188"/>
      <c r="Z28" s="1188"/>
      <c r="AA28" s="1188"/>
      <c r="AB28" s="1188"/>
      <c r="AC28" s="1188" t="s">
        <v>155</v>
      </c>
      <c r="AD28" s="1188" t="s">
        <v>156</v>
      </c>
      <c r="AE28" s="1188" t="s">
        <v>157</v>
      </c>
      <c r="AF28" s="1188" t="s">
        <v>158</v>
      </c>
      <c r="AG28" s="1188" t="s">
        <v>159</v>
      </c>
      <c r="AH28" s="1188"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188" t="str">
        <f>IF($G$28=0,"",$G$28)</f>
        <v/>
      </c>
      <c r="AJ28" s="1188" t="str">
        <f>IF($J$28=0,"",$J$28)</f>
        <v/>
      </c>
      <c r="AK28" s="1188" t="str">
        <f>IF($K$28="нет","без дифференциации",IF($N$28=0,"",$N$28))</f>
        <v/>
      </c>
      <c r="AL28" s="1188" t="str">
        <f>IF($O$28="нет","без дифференциации",IF($R$28=0,"",$R$28))</f>
        <v/>
      </c>
      <c r="AM28" s="1188" t="str">
        <f>IF($S$28="нет","без дифференциации",IF($V$28=0,"",$V$28))</f>
        <v/>
      </c>
      <c r="AN28" s="1684">
        <f>$I$28</f>
        <v>0</v>
      </c>
      <c r="AO28" s="1188" t="str">
        <f>$I$28&amp;"."&amp;$M$28</f>
        <v>.</v>
      </c>
      <c r="AP28" s="1181" t="str">
        <f>$I$28&amp;"."&amp;$M$28&amp;"."&amp;$Q$28</f>
        <v>..</v>
      </c>
      <c r="AQ28" s="1181" t="str">
        <f>$I$28&amp;"."&amp;$M$28&amp;"."&amp;$Q$28&amp;"."&amp;$U$28</f>
        <v>...</v>
      </c>
    </row>
    <row r="29" spans="1:43" s="1843" customFormat="1" ht="17.25" hidden="1" customHeight="1">
      <c r="A29" s="243"/>
      <c r="C29" s="242"/>
      <c r="D29" s="2039"/>
      <c r="E29" s="2041"/>
      <c r="F29" s="2044"/>
      <c r="G29" s="2041"/>
      <c r="H29" s="2047"/>
      <c r="I29" s="2049"/>
      <c r="J29" s="2051"/>
      <c r="K29" s="2038"/>
      <c r="L29" s="2038"/>
      <c r="M29" s="2038"/>
      <c r="N29" s="2054"/>
      <c r="O29" s="2038"/>
      <c r="P29" s="2038"/>
      <c r="Q29" s="2038"/>
      <c r="R29" s="2055"/>
      <c r="S29" s="2038"/>
      <c r="T29" s="1218"/>
      <c r="U29" s="1218"/>
      <c r="V29" s="1218"/>
      <c r="W29" s="1219"/>
      <c r="X29" s="1181"/>
      <c r="Y29" s="1181"/>
      <c r="Z29" s="1181"/>
      <c r="AA29" s="1181"/>
      <c r="AB29" s="1181"/>
      <c r="AC29" s="1181"/>
      <c r="AD29" s="1181"/>
      <c r="AE29" s="1181"/>
      <c r="AF29" s="1181"/>
      <c r="AG29" s="1181"/>
      <c r="AH29" s="1181"/>
      <c r="AI29" s="1181"/>
      <c r="AJ29" s="1181"/>
      <c r="AK29" s="1181"/>
      <c r="AL29" s="1181"/>
      <c r="AM29" s="1181"/>
      <c r="AN29" s="1181"/>
      <c r="AO29" s="1181"/>
      <c r="AP29" s="1181"/>
      <c r="AQ29" s="1181"/>
    </row>
    <row r="30" spans="1:43" s="1843" customFormat="1" ht="17.25" hidden="1" customHeight="1">
      <c r="A30" s="243"/>
      <c r="C30" s="242"/>
      <c r="D30" s="2040"/>
      <c r="E30" s="2042"/>
      <c r="F30" s="2044"/>
      <c r="G30" s="2042"/>
      <c r="H30" s="2047"/>
      <c r="I30" s="2049"/>
      <c r="J30" s="2052"/>
      <c r="K30" s="2038"/>
      <c r="L30" s="2038"/>
      <c r="M30" s="2038"/>
      <c r="N30" s="2055"/>
      <c r="O30" s="2038"/>
      <c r="P30" s="1335"/>
      <c r="Q30" s="1218"/>
      <c r="R30" s="1218"/>
      <c r="S30" s="254"/>
      <c r="T30" s="254"/>
      <c r="U30" s="254"/>
      <c r="V30" s="254"/>
      <c r="W30" s="1219"/>
      <c r="X30" s="1181"/>
      <c r="Y30" s="1181"/>
      <c r="Z30" s="1181"/>
      <c r="AA30" s="1181"/>
      <c r="AB30" s="1181"/>
      <c r="AC30" s="1181"/>
      <c r="AD30" s="1181"/>
      <c r="AE30" s="1181"/>
      <c r="AF30" s="1181"/>
      <c r="AG30" s="1181"/>
      <c r="AH30" s="1181"/>
      <c r="AI30" s="1181"/>
      <c r="AJ30" s="1181"/>
      <c r="AK30" s="1181"/>
      <c r="AL30" s="1181"/>
      <c r="AM30" s="1181"/>
      <c r="AN30" s="1181"/>
      <c r="AO30" s="1181"/>
      <c r="AP30" s="1181"/>
      <c r="AQ30" s="1181"/>
    </row>
    <row r="31" spans="1:43" s="1843" customFormat="1" ht="17.25" hidden="1" customHeight="1">
      <c r="A31" s="243"/>
      <c r="C31" s="242"/>
      <c r="D31" s="2040"/>
      <c r="E31" s="2042"/>
      <c r="F31" s="2044"/>
      <c r="G31" s="2042"/>
      <c r="H31" s="2047"/>
      <c r="I31" s="2049"/>
      <c r="J31" s="2052"/>
      <c r="K31" s="2038"/>
      <c r="L31" s="1218"/>
      <c r="M31" s="1218"/>
      <c r="N31" s="1218"/>
      <c r="O31" s="1218"/>
      <c r="P31" s="1218"/>
      <c r="Q31" s="1218"/>
      <c r="R31" s="1218"/>
      <c r="S31" s="254"/>
      <c r="T31" s="254"/>
      <c r="U31" s="254"/>
      <c r="V31" s="254"/>
      <c r="W31" s="1219"/>
      <c r="X31" s="1181"/>
      <c r="Y31" s="1181"/>
      <c r="Z31" s="1181"/>
      <c r="AA31" s="1181"/>
      <c r="AB31" s="1181"/>
      <c r="AC31" s="1181"/>
      <c r="AD31" s="1181"/>
      <c r="AE31" s="1181"/>
      <c r="AF31" s="1181"/>
      <c r="AG31" s="1181"/>
      <c r="AH31" s="1181"/>
      <c r="AI31" s="1181"/>
      <c r="AJ31" s="1181"/>
      <c r="AK31" s="1181"/>
      <c r="AL31" s="1181"/>
      <c r="AM31" s="1181"/>
      <c r="AN31" s="1181"/>
      <c r="AO31" s="1181"/>
      <c r="AP31" s="1181"/>
      <c r="AQ31" s="1181"/>
    </row>
    <row r="32" spans="1:43" s="1843" customFormat="1" ht="17.25" hidden="1" customHeight="1">
      <c r="A32" s="243"/>
      <c r="C32" s="242"/>
      <c r="D32" s="2040"/>
      <c r="E32" s="2042"/>
      <c r="F32" s="2045"/>
      <c r="G32" s="2042"/>
      <c r="H32" s="1220"/>
      <c r="I32" s="1221"/>
      <c r="J32" s="1221"/>
      <c r="K32" s="1221"/>
      <c r="L32" s="1221"/>
      <c r="M32" s="1221"/>
      <c r="N32" s="1221"/>
      <c r="O32" s="1221"/>
      <c r="P32" s="1221"/>
      <c r="Q32" s="1221"/>
      <c r="R32" s="1221"/>
      <c r="S32" s="1222"/>
      <c r="T32" s="1222"/>
      <c r="U32" s="1222"/>
      <c r="V32" s="1222"/>
      <c r="W32" s="1223"/>
      <c r="X32" s="1181"/>
      <c r="Y32" s="1181"/>
      <c r="Z32" s="1181"/>
      <c r="AA32" s="1181"/>
      <c r="AB32" s="1181"/>
      <c r="AC32" s="1181"/>
      <c r="AD32" s="1181"/>
      <c r="AE32" s="1181"/>
      <c r="AF32" s="1181"/>
      <c r="AG32" s="1181"/>
      <c r="AH32" s="1181"/>
      <c r="AI32" s="1181"/>
      <c r="AJ32" s="1181"/>
      <c r="AK32" s="1181"/>
      <c r="AL32" s="1181"/>
      <c r="AM32" s="1181"/>
      <c r="AN32" s="1181"/>
      <c r="AO32" s="1181"/>
      <c r="AP32" s="1181"/>
      <c r="AQ32" s="1181"/>
    </row>
    <row r="33" spans="1:43" s="1843" customFormat="1" ht="17.25" hidden="1" customHeight="1">
      <c r="A33" s="243"/>
      <c r="C33" s="130"/>
      <c r="D33" s="2039">
        <v>5</v>
      </c>
      <c r="E33" s="2041" t="s">
        <v>160</v>
      </c>
      <c r="F33" s="2043" t="s">
        <v>48</v>
      </c>
      <c r="G33" s="2041"/>
      <c r="H33" s="2046"/>
      <c r="I33" s="2048"/>
      <c r="J33" s="2050"/>
      <c r="K33" s="2037"/>
      <c r="L33" s="2037"/>
      <c r="M33" s="2037"/>
      <c r="N33" s="2053"/>
      <c r="O33" s="2037"/>
      <c r="P33" s="2037"/>
      <c r="Q33" s="2037"/>
      <c r="R33" s="2056"/>
      <c r="S33" s="2037"/>
      <c r="T33" s="1337"/>
      <c r="U33" s="1337"/>
      <c r="V33" s="1336"/>
      <c r="W33" s="1217"/>
      <c r="X33" s="1188"/>
      <c r="Y33" s="1188"/>
      <c r="Z33" s="1188"/>
      <c r="AA33" s="1188"/>
      <c r="AB33" s="1188"/>
      <c r="AC33" s="1188" t="s">
        <v>161</v>
      </c>
      <c r="AD33" s="1188" t="s">
        <v>162</v>
      </c>
      <c r="AE33" s="1188" t="s">
        <v>163</v>
      </c>
      <c r="AF33" s="1188" t="s">
        <v>164</v>
      </c>
      <c r="AG33" s="1188" t="s">
        <v>165</v>
      </c>
      <c r="AH33" s="1188" t="str">
        <f>IF($E$33=0,"",$E$33)</f>
        <v>Тарифы на услуги по передаче тепловой энергии</v>
      </c>
      <c r="AI33" s="1188" t="str">
        <f>IF($G$33=0,"",$G$33)</f>
        <v/>
      </c>
      <c r="AJ33" s="1188" t="str">
        <f>IF($J$33=0,"",$J$33)</f>
        <v/>
      </c>
      <c r="AK33" s="1188" t="str">
        <f>IF($K$33="нет","без дифференциации",IF($N$33=0,"",$N$33))</f>
        <v/>
      </c>
      <c r="AL33" s="1188" t="str">
        <f>IF($O$33="нет","без дифференциации",IF($R$33=0,"",$R$33))</f>
        <v/>
      </c>
      <c r="AM33" s="1188" t="str">
        <f>IF($S$33="нет","без дифференциации",IF($V$33=0,"",$V$33))</f>
        <v/>
      </c>
      <c r="AN33" s="1684">
        <f>$I$33</f>
        <v>0</v>
      </c>
      <c r="AO33" s="1188" t="str">
        <f>$I$33&amp;"."&amp;$M$33</f>
        <v>.</v>
      </c>
      <c r="AP33" s="1181" t="str">
        <f>$I$33&amp;"."&amp;$M$33&amp;"."&amp;$Q$33</f>
        <v>..</v>
      </c>
      <c r="AQ33" s="1181" t="str">
        <f>$I$33&amp;"."&amp;$M$33&amp;"."&amp;$Q$33&amp;"."&amp;$U$33</f>
        <v>...</v>
      </c>
    </row>
    <row r="34" spans="1:43" s="1843" customFormat="1" ht="17.25" hidden="1" customHeight="1">
      <c r="A34" s="243"/>
      <c r="C34" s="242"/>
      <c r="D34" s="2039"/>
      <c r="E34" s="2041"/>
      <c r="F34" s="2044"/>
      <c r="G34" s="2041"/>
      <c r="H34" s="2047"/>
      <c r="I34" s="2049"/>
      <c r="J34" s="2051"/>
      <c r="K34" s="2038"/>
      <c r="L34" s="2038"/>
      <c r="M34" s="2038"/>
      <c r="N34" s="2054"/>
      <c r="O34" s="2038"/>
      <c r="P34" s="2038"/>
      <c r="Q34" s="2038"/>
      <c r="R34" s="2055"/>
      <c r="S34" s="2038"/>
      <c r="T34" s="1218"/>
      <c r="U34" s="1218"/>
      <c r="V34" s="1218"/>
      <c r="W34" s="1219"/>
      <c r="X34" s="1181"/>
      <c r="Y34" s="1181"/>
      <c r="Z34" s="1181"/>
      <c r="AA34" s="1181"/>
      <c r="AB34" s="1181"/>
      <c r="AC34" s="1181"/>
      <c r="AD34" s="1181"/>
      <c r="AE34" s="1181"/>
      <c r="AF34" s="1181"/>
      <c r="AG34" s="1181"/>
      <c r="AH34" s="1181"/>
      <c r="AI34" s="1181"/>
      <c r="AJ34" s="1181"/>
      <c r="AK34" s="1181"/>
      <c r="AL34" s="1181"/>
      <c r="AM34" s="1181"/>
      <c r="AN34" s="1181"/>
      <c r="AO34" s="1181"/>
      <c r="AP34" s="1181"/>
      <c r="AQ34" s="1181"/>
    </row>
    <row r="35" spans="1:43" s="1843" customFormat="1" ht="17.25" hidden="1" customHeight="1">
      <c r="A35" s="243"/>
      <c r="C35" s="242"/>
      <c r="D35" s="2040"/>
      <c r="E35" s="2042"/>
      <c r="F35" s="2044"/>
      <c r="G35" s="2042"/>
      <c r="H35" s="2047"/>
      <c r="I35" s="2049"/>
      <c r="J35" s="2052"/>
      <c r="K35" s="2038"/>
      <c r="L35" s="2038"/>
      <c r="M35" s="2038"/>
      <c r="N35" s="2055"/>
      <c r="O35" s="2038"/>
      <c r="P35" s="1335"/>
      <c r="Q35" s="1218"/>
      <c r="R35" s="1218"/>
      <c r="S35" s="254"/>
      <c r="T35" s="254"/>
      <c r="U35" s="254"/>
      <c r="V35" s="254"/>
      <c r="W35" s="1219"/>
      <c r="X35" s="1181"/>
      <c r="Y35" s="1181"/>
      <c r="Z35" s="1181"/>
      <c r="AA35" s="1181"/>
      <c r="AB35" s="1181"/>
      <c r="AC35" s="1181"/>
      <c r="AD35" s="1181"/>
      <c r="AE35" s="1181"/>
      <c r="AF35" s="1181"/>
      <c r="AG35" s="1181"/>
      <c r="AH35" s="1181"/>
      <c r="AI35" s="1181"/>
      <c r="AJ35" s="1181"/>
      <c r="AK35" s="1181"/>
      <c r="AL35" s="1181"/>
      <c r="AM35" s="1181"/>
      <c r="AN35" s="1181"/>
      <c r="AO35" s="1181"/>
      <c r="AP35" s="1181"/>
      <c r="AQ35" s="1181"/>
    </row>
    <row r="36" spans="1:43" s="1843" customFormat="1" ht="17.25" hidden="1" customHeight="1">
      <c r="A36" s="243"/>
      <c r="C36" s="242"/>
      <c r="D36" s="2040"/>
      <c r="E36" s="2042"/>
      <c r="F36" s="2044"/>
      <c r="G36" s="2042"/>
      <c r="H36" s="2047"/>
      <c r="I36" s="2049"/>
      <c r="J36" s="2052"/>
      <c r="K36" s="2038"/>
      <c r="L36" s="1218"/>
      <c r="M36" s="1218"/>
      <c r="N36" s="1218"/>
      <c r="O36" s="1218"/>
      <c r="P36" s="1218"/>
      <c r="Q36" s="1218"/>
      <c r="R36" s="1218"/>
      <c r="S36" s="254"/>
      <c r="T36" s="254"/>
      <c r="U36" s="254"/>
      <c r="V36" s="254"/>
      <c r="W36" s="1219"/>
      <c r="X36" s="1181"/>
      <c r="Y36" s="1181"/>
      <c r="Z36" s="1181"/>
      <c r="AA36" s="1181"/>
      <c r="AB36" s="1181"/>
      <c r="AC36" s="1181"/>
      <c r="AD36" s="1181"/>
      <c r="AE36" s="1181"/>
      <c r="AF36" s="1181"/>
      <c r="AG36" s="1181"/>
      <c r="AH36" s="1181"/>
      <c r="AI36" s="1181"/>
      <c r="AJ36" s="1181"/>
      <c r="AK36" s="1181"/>
      <c r="AL36" s="1181"/>
      <c r="AM36" s="1181"/>
      <c r="AN36" s="1181"/>
      <c r="AO36" s="1181"/>
      <c r="AP36" s="1181"/>
      <c r="AQ36" s="1181"/>
    </row>
    <row r="37" spans="1:43" s="1843" customFormat="1" ht="17.25" hidden="1" customHeight="1">
      <c r="A37" s="243"/>
      <c r="C37" s="242"/>
      <c r="D37" s="2040"/>
      <c r="E37" s="2042"/>
      <c r="F37" s="2045"/>
      <c r="G37" s="2042"/>
      <c r="H37" s="1220"/>
      <c r="I37" s="1221"/>
      <c r="J37" s="1221"/>
      <c r="K37" s="1221"/>
      <c r="L37" s="1221"/>
      <c r="M37" s="1221"/>
      <c r="N37" s="1221"/>
      <c r="O37" s="1221"/>
      <c r="P37" s="1221"/>
      <c r="Q37" s="1221"/>
      <c r="R37" s="1221"/>
      <c r="S37" s="1222"/>
      <c r="T37" s="1222"/>
      <c r="U37" s="1222"/>
      <c r="V37" s="1222"/>
      <c r="W37" s="1223"/>
      <c r="X37" s="1181"/>
      <c r="Y37" s="1181"/>
      <c r="Z37" s="1181"/>
      <c r="AA37" s="1181"/>
      <c r="AB37" s="1181"/>
      <c r="AC37" s="1181"/>
      <c r="AD37" s="1181"/>
      <c r="AE37" s="1181"/>
      <c r="AF37" s="1181"/>
      <c r="AG37" s="1181"/>
      <c r="AH37" s="1181"/>
      <c r="AI37" s="1181"/>
      <c r="AJ37" s="1181"/>
      <c r="AK37" s="1181"/>
      <c r="AL37" s="1181"/>
      <c r="AM37" s="1181"/>
      <c r="AN37" s="1181"/>
      <c r="AO37" s="1181"/>
      <c r="AP37" s="1181"/>
      <c r="AQ37" s="1181"/>
    </row>
    <row r="38" spans="1:43" s="1843" customFormat="1" ht="17.25" hidden="1" customHeight="1">
      <c r="A38" s="243"/>
      <c r="C38" s="130"/>
      <c r="D38" s="2039">
        <v>6</v>
      </c>
      <c r="E38" s="2041" t="s">
        <v>166</v>
      </c>
      <c r="F38" s="2043" t="s">
        <v>48</v>
      </c>
      <c r="G38" s="2041"/>
      <c r="H38" s="2046"/>
      <c r="I38" s="2048"/>
      <c r="J38" s="2050"/>
      <c r="K38" s="2037"/>
      <c r="L38" s="2037"/>
      <c r="M38" s="2037"/>
      <c r="N38" s="2053"/>
      <c r="O38" s="2037"/>
      <c r="P38" s="2037"/>
      <c r="Q38" s="2037"/>
      <c r="R38" s="2056"/>
      <c r="S38" s="2037"/>
      <c r="T38" s="1337"/>
      <c r="U38" s="1337"/>
      <c r="V38" s="1336"/>
      <c r="W38" s="1217"/>
      <c r="X38" s="1188"/>
      <c r="Y38" s="1188"/>
      <c r="Z38" s="1188"/>
      <c r="AA38" s="1188"/>
      <c r="AB38" s="1188"/>
      <c r="AC38" s="1188" t="s">
        <v>167</v>
      </c>
      <c r="AD38" s="1188" t="s">
        <v>168</v>
      </c>
      <c r="AE38" s="1188" t="s">
        <v>169</v>
      </c>
      <c r="AF38" s="1188" t="s">
        <v>170</v>
      </c>
      <c r="AG38" s="1188" t="s">
        <v>171</v>
      </c>
      <c r="AH38" s="1188" t="str">
        <f>IF($E$38=0,"",$E$38)</f>
        <v>Тарифы на услуги по передаче теплоносителя</v>
      </c>
      <c r="AI38" s="1188" t="str">
        <f>IF($G$38=0,"",$G$38)</f>
        <v/>
      </c>
      <c r="AJ38" s="1188" t="str">
        <f>IF($J$38=0,"",$J$38)</f>
        <v/>
      </c>
      <c r="AK38" s="1188" t="str">
        <f>IF($K$38="нет","без дифференциации",IF($N$38=0,"",$N$38))</f>
        <v/>
      </c>
      <c r="AL38" s="1188" t="str">
        <f>IF($O$38="нет","без дифференциации",IF($R$38=0,"",$R$38))</f>
        <v/>
      </c>
      <c r="AM38" s="1188" t="str">
        <f>IF($S$38="нет","без дифференциации",IF($V$38=0,"",$V$38))</f>
        <v/>
      </c>
      <c r="AN38" s="1684">
        <f>$I$38</f>
        <v>0</v>
      </c>
      <c r="AO38" s="1188" t="str">
        <f>$I$38&amp;"."&amp;$M$38</f>
        <v>.</v>
      </c>
      <c r="AP38" s="1181" t="str">
        <f>$I$38&amp;"."&amp;$M$38&amp;"."&amp;$Q$38</f>
        <v>..</v>
      </c>
      <c r="AQ38" s="1181" t="str">
        <f>$I$38&amp;"."&amp;$M$38&amp;"."&amp;$Q$38&amp;"."&amp;$U$38</f>
        <v>...</v>
      </c>
    </row>
    <row r="39" spans="1:43" s="1843" customFormat="1" ht="17.25" hidden="1" customHeight="1">
      <c r="A39" s="243"/>
      <c r="C39" s="242"/>
      <c r="D39" s="2039"/>
      <c r="E39" s="2041"/>
      <c r="F39" s="2044"/>
      <c r="G39" s="2041"/>
      <c r="H39" s="2047"/>
      <c r="I39" s="2049"/>
      <c r="J39" s="2051"/>
      <c r="K39" s="2038"/>
      <c r="L39" s="2038"/>
      <c r="M39" s="2038"/>
      <c r="N39" s="2054"/>
      <c r="O39" s="2038"/>
      <c r="P39" s="2038"/>
      <c r="Q39" s="2038"/>
      <c r="R39" s="2055"/>
      <c r="S39" s="2038"/>
      <c r="T39" s="1218"/>
      <c r="U39" s="1218"/>
      <c r="V39" s="1218"/>
      <c r="W39" s="1219"/>
      <c r="X39" s="1181"/>
      <c r="Y39" s="1181"/>
      <c r="Z39" s="1181"/>
      <c r="AA39" s="1181"/>
      <c r="AB39" s="1181"/>
      <c r="AC39" s="1181"/>
      <c r="AD39" s="1181"/>
      <c r="AE39" s="1181"/>
      <c r="AF39" s="1181"/>
      <c r="AG39" s="1181"/>
      <c r="AH39" s="1181"/>
      <c r="AI39" s="1181"/>
      <c r="AJ39" s="1181"/>
      <c r="AK39" s="1181"/>
      <c r="AL39" s="1181"/>
      <c r="AM39" s="1181"/>
      <c r="AN39" s="1181"/>
      <c r="AO39" s="1181"/>
      <c r="AP39" s="1181"/>
      <c r="AQ39" s="1181"/>
    </row>
    <row r="40" spans="1:43" s="1843" customFormat="1" ht="17.25" hidden="1" customHeight="1">
      <c r="A40" s="243"/>
      <c r="C40" s="242"/>
      <c r="D40" s="2040"/>
      <c r="E40" s="2042"/>
      <c r="F40" s="2044"/>
      <c r="G40" s="2042"/>
      <c r="H40" s="2047"/>
      <c r="I40" s="2049"/>
      <c r="J40" s="2052"/>
      <c r="K40" s="2038"/>
      <c r="L40" s="2038"/>
      <c r="M40" s="2038"/>
      <c r="N40" s="2055"/>
      <c r="O40" s="2038"/>
      <c r="P40" s="1335"/>
      <c r="Q40" s="1218"/>
      <c r="R40" s="1218"/>
      <c r="S40" s="254"/>
      <c r="T40" s="254"/>
      <c r="U40" s="254"/>
      <c r="V40" s="254"/>
      <c r="W40" s="1219"/>
      <c r="X40" s="1181"/>
      <c r="Y40" s="1181"/>
      <c r="Z40" s="1181"/>
      <c r="AA40" s="1181"/>
      <c r="AB40" s="1181"/>
      <c r="AC40" s="1181"/>
      <c r="AD40" s="1181"/>
      <c r="AE40" s="1181"/>
      <c r="AF40" s="1181"/>
      <c r="AG40" s="1181"/>
      <c r="AH40" s="1181"/>
      <c r="AI40" s="1181"/>
      <c r="AJ40" s="1181"/>
      <c r="AK40" s="1181"/>
      <c r="AL40" s="1181"/>
      <c r="AM40" s="1181"/>
      <c r="AN40" s="1181"/>
      <c r="AO40" s="1181"/>
      <c r="AP40" s="1181"/>
      <c r="AQ40" s="1181"/>
    </row>
    <row r="41" spans="1:43" s="1844" customFormat="1" ht="17.25" hidden="1" customHeight="1">
      <c r="A41" s="243"/>
      <c r="C41" s="130"/>
      <c r="D41" s="2040"/>
      <c r="E41" s="2042"/>
      <c r="F41" s="2044"/>
      <c r="G41" s="2042"/>
      <c r="H41" s="2047"/>
      <c r="I41" s="2049"/>
      <c r="J41" s="2052"/>
      <c r="K41" s="2038"/>
      <c r="L41" s="1218"/>
      <c r="M41" s="1218"/>
      <c r="N41" s="1218"/>
      <c r="O41" s="1218"/>
      <c r="P41" s="1218"/>
      <c r="Q41" s="1218"/>
      <c r="R41" s="1218"/>
      <c r="S41" s="254"/>
      <c r="T41" s="254"/>
      <c r="U41" s="254"/>
      <c r="V41" s="254"/>
      <c r="W41" s="1219"/>
      <c r="Y41" s="1188"/>
      <c r="Z41" s="1188"/>
      <c r="AA41" s="1188"/>
      <c r="AB41" s="1188"/>
      <c r="AC41" s="1188"/>
      <c r="AD41" s="1188"/>
      <c r="AE41" s="1188"/>
      <c r="AF41" s="1188"/>
      <c r="AG41" s="1188"/>
      <c r="AH41" s="1188"/>
      <c r="AI41" s="1188"/>
      <c r="AJ41" s="1188"/>
      <c r="AK41" s="1188"/>
      <c r="AL41" s="1188"/>
      <c r="AM41" s="1188"/>
      <c r="AN41" s="1188"/>
      <c r="AO41" s="1188"/>
      <c r="AP41" s="1188"/>
      <c r="AQ41" s="1188"/>
    </row>
    <row r="42" spans="1:43" s="1843" customFormat="1" ht="17.25" hidden="1" customHeight="1">
      <c r="A42" s="243"/>
      <c r="C42" s="242"/>
      <c r="D42" s="2040"/>
      <c r="E42" s="2042"/>
      <c r="F42" s="2045"/>
      <c r="G42" s="2042"/>
      <c r="H42" s="1220"/>
      <c r="I42" s="1221"/>
      <c r="J42" s="1221"/>
      <c r="K42" s="1221"/>
      <c r="L42" s="1221"/>
      <c r="M42" s="1221"/>
      <c r="N42" s="1221"/>
      <c r="O42" s="1221"/>
      <c r="P42" s="1221"/>
      <c r="Q42" s="1221"/>
      <c r="R42" s="1221"/>
      <c r="S42" s="1222"/>
      <c r="T42" s="1222"/>
      <c r="U42" s="1222"/>
      <c r="V42" s="1222"/>
      <c r="W42" s="1223"/>
      <c r="X42" s="1181"/>
      <c r="Y42" s="1181"/>
      <c r="Z42" s="1181"/>
      <c r="AA42" s="1181"/>
      <c r="AB42" s="1181"/>
      <c r="AC42" s="1181"/>
      <c r="AD42" s="1181"/>
      <c r="AE42" s="1181"/>
      <c r="AF42" s="1181"/>
      <c r="AG42" s="1181"/>
      <c r="AH42" s="1181"/>
      <c r="AI42" s="1181"/>
      <c r="AJ42" s="1181"/>
      <c r="AK42" s="1181"/>
      <c r="AL42" s="1181"/>
      <c r="AM42" s="1181"/>
      <c r="AN42" s="1181"/>
      <c r="AO42" s="1181"/>
      <c r="AP42" s="1181"/>
      <c r="AQ42" s="1181"/>
    </row>
    <row r="43" spans="1:43" s="1845" customFormat="1" ht="17.25" hidden="1" customHeight="1">
      <c r="A43" s="243"/>
      <c r="C43" s="130"/>
      <c r="D43" s="2060">
        <v>7</v>
      </c>
      <c r="E43" s="2063" t="s">
        <v>172</v>
      </c>
      <c r="F43" s="2043" t="s">
        <v>48</v>
      </c>
      <c r="G43" s="2063"/>
      <c r="H43" s="2046"/>
      <c r="I43" s="2048"/>
      <c r="J43" s="2050"/>
      <c r="K43" s="2037"/>
      <c r="L43" s="2037"/>
      <c r="M43" s="2037"/>
      <c r="N43" s="2053"/>
      <c r="O43" s="2037"/>
      <c r="P43" s="2037"/>
      <c r="Q43" s="2037"/>
      <c r="R43" s="2056"/>
      <c r="S43" s="2037"/>
      <c r="T43" s="1337"/>
      <c r="U43" s="1337"/>
      <c r="V43" s="1336"/>
      <c r="W43" s="1217"/>
      <c r="X43" s="1188"/>
      <c r="Y43" s="1188"/>
      <c r="Z43" s="1188"/>
      <c r="AA43" s="1188"/>
      <c r="AB43" s="1188"/>
      <c r="AC43" s="1188" t="s">
        <v>173</v>
      </c>
      <c r="AD43" s="1188" t="s">
        <v>174</v>
      </c>
      <c r="AE43" s="1188" t="s">
        <v>175</v>
      </c>
      <c r="AF43" s="1188" t="s">
        <v>176</v>
      </c>
      <c r="AG43" s="1188" t="s">
        <v>177</v>
      </c>
      <c r="AH43" s="1188" t="str">
        <f>IF($E$43=0,"",$E$43)</f>
        <v>Плата за услуги по поддержанию резервной тепловой мощности при отсутствии потребления тепловой энергии</v>
      </c>
      <c r="AI43" s="1188" t="str">
        <f>IF($G$43=0,"",$G$43)</f>
        <v/>
      </c>
      <c r="AJ43" s="1188" t="str">
        <f>IF($J$43=0,"",$J$43)</f>
        <v/>
      </c>
      <c r="AK43" s="1188" t="str">
        <f>IF($K$43="нет","без дифференциации",IF($N$43=0,"",$N$43))</f>
        <v/>
      </c>
      <c r="AL43" s="1188" t="str">
        <f>IF($O$43="нет","без дифференциации",IF($R$43=0,"",$R$43))</f>
        <v/>
      </c>
      <c r="AM43" s="1188" t="str">
        <f>IF($S$43="нет","без дифференциации",IF($V$43=0,"",$V$43))</f>
        <v/>
      </c>
      <c r="AN43" s="1684">
        <f>$I$43</f>
        <v>0</v>
      </c>
      <c r="AO43" s="1188" t="str">
        <f>$I$43&amp;"."&amp;$M$43</f>
        <v>.</v>
      </c>
      <c r="AP43" s="1181" t="str">
        <f>$I$43&amp;"."&amp;$M$43&amp;"."&amp;$Q$43</f>
        <v>..</v>
      </c>
      <c r="AQ43" s="1181" t="str">
        <f>$I$43&amp;"."&amp;$M$43&amp;"."&amp;$Q$43&amp;"."&amp;$U$43</f>
        <v>...</v>
      </c>
    </row>
    <row r="44" spans="1:43" s="1845" customFormat="1" ht="17.25" hidden="1" customHeight="1">
      <c r="A44" s="243"/>
      <c r="C44" s="242"/>
      <c r="D44" s="2061"/>
      <c r="E44" s="2064"/>
      <c r="F44" s="2044"/>
      <c r="G44" s="2064"/>
      <c r="H44" s="2047"/>
      <c r="I44" s="2049"/>
      <c r="J44" s="2051"/>
      <c r="K44" s="2038"/>
      <c r="L44" s="2038"/>
      <c r="M44" s="2038"/>
      <c r="N44" s="2054"/>
      <c r="O44" s="2038"/>
      <c r="P44" s="2038"/>
      <c r="Q44" s="2038"/>
      <c r="R44" s="2055"/>
      <c r="S44" s="2038"/>
      <c r="T44" s="1218"/>
      <c r="U44" s="1218"/>
      <c r="V44" s="1218"/>
      <c r="W44" s="1219"/>
      <c r="X44" s="1181"/>
      <c r="Y44" s="1181"/>
      <c r="Z44" s="1181"/>
      <c r="AA44" s="1181"/>
      <c r="AB44" s="1181"/>
      <c r="AC44" s="1181"/>
      <c r="AD44" s="1181"/>
      <c r="AE44" s="1181"/>
      <c r="AF44" s="1181"/>
      <c r="AG44" s="1181"/>
      <c r="AH44" s="1181"/>
      <c r="AI44" s="1181"/>
      <c r="AJ44" s="1181"/>
      <c r="AK44" s="1181"/>
      <c r="AL44" s="1181"/>
      <c r="AM44" s="1181"/>
      <c r="AN44" s="1181"/>
      <c r="AO44" s="1181"/>
      <c r="AP44" s="1181"/>
      <c r="AQ44" s="1181"/>
    </row>
    <row r="45" spans="1:43" s="1845" customFormat="1" ht="17.25" hidden="1" customHeight="1">
      <c r="A45" s="243"/>
      <c r="C45" s="242"/>
      <c r="D45" s="2061"/>
      <c r="E45" s="2064"/>
      <c r="F45" s="2044"/>
      <c r="G45" s="2064"/>
      <c r="H45" s="2047"/>
      <c r="I45" s="2049"/>
      <c r="J45" s="2052"/>
      <c r="K45" s="2038"/>
      <c r="L45" s="2038"/>
      <c r="M45" s="2038"/>
      <c r="N45" s="2055"/>
      <c r="O45" s="2038"/>
      <c r="P45" s="1335"/>
      <c r="Q45" s="1218"/>
      <c r="R45" s="1218"/>
      <c r="S45" s="254"/>
      <c r="T45" s="254"/>
      <c r="U45" s="254"/>
      <c r="V45" s="254"/>
      <c r="W45" s="1219"/>
      <c r="X45" s="1181"/>
      <c r="Y45" s="1181"/>
      <c r="Z45" s="1181"/>
      <c r="AA45" s="1181"/>
      <c r="AB45" s="1181"/>
      <c r="AC45" s="1181"/>
      <c r="AD45" s="1181"/>
      <c r="AE45" s="1181"/>
      <c r="AF45" s="1181"/>
      <c r="AG45" s="1181"/>
      <c r="AH45" s="1181"/>
      <c r="AI45" s="1181"/>
      <c r="AJ45" s="1181"/>
      <c r="AK45" s="1181"/>
      <c r="AL45" s="1181"/>
      <c r="AM45" s="1181"/>
      <c r="AN45" s="1181"/>
      <c r="AO45" s="1181"/>
      <c r="AP45" s="1181"/>
      <c r="AQ45" s="1181"/>
    </row>
    <row r="46" spans="1:43" s="1844" customFormat="1" ht="17.25" hidden="1" customHeight="1">
      <c r="A46" s="243"/>
      <c r="C46" s="130"/>
      <c r="D46" s="2061"/>
      <c r="E46" s="2064"/>
      <c r="F46" s="2044"/>
      <c r="G46" s="2064"/>
      <c r="H46" s="2047"/>
      <c r="I46" s="2049"/>
      <c r="J46" s="2052"/>
      <c r="K46" s="2038"/>
      <c r="L46" s="1218"/>
      <c r="M46" s="1218"/>
      <c r="N46" s="1218"/>
      <c r="O46" s="1218"/>
      <c r="P46" s="1218"/>
      <c r="Q46" s="1218"/>
      <c r="R46" s="1218"/>
      <c r="S46" s="254"/>
      <c r="T46" s="254"/>
      <c r="U46" s="254"/>
      <c r="V46" s="254"/>
      <c r="W46" s="1219"/>
      <c r="Y46" s="1188"/>
      <c r="Z46" s="1188"/>
      <c r="AA46" s="1188"/>
      <c r="AB46" s="1188"/>
      <c r="AC46" s="1188"/>
      <c r="AD46" s="1188"/>
      <c r="AE46" s="1188"/>
      <c r="AF46" s="1188"/>
      <c r="AG46" s="1188"/>
      <c r="AH46" s="1188"/>
      <c r="AI46" s="1188"/>
      <c r="AJ46" s="1188"/>
      <c r="AK46" s="1188"/>
      <c r="AL46" s="1188"/>
      <c r="AM46" s="1188"/>
      <c r="AN46" s="1188"/>
      <c r="AO46" s="1188"/>
      <c r="AP46" s="1188"/>
      <c r="AQ46" s="1188"/>
    </row>
    <row r="47" spans="1:43" s="1845" customFormat="1" ht="17.25" hidden="1" customHeight="1">
      <c r="A47" s="243"/>
      <c r="C47" s="242"/>
      <c r="D47" s="2062"/>
      <c r="E47" s="2065"/>
      <c r="F47" s="2045"/>
      <c r="G47" s="2065"/>
      <c r="H47" s="1220"/>
      <c r="I47" s="1221"/>
      <c r="J47" s="1221"/>
      <c r="K47" s="1221"/>
      <c r="L47" s="1221"/>
      <c r="M47" s="1221"/>
      <c r="N47" s="1221"/>
      <c r="O47" s="1221"/>
      <c r="P47" s="1221"/>
      <c r="Q47" s="1221"/>
      <c r="R47" s="1221"/>
      <c r="S47" s="1222"/>
      <c r="T47" s="1222"/>
      <c r="U47" s="1222"/>
      <c r="V47" s="1222"/>
      <c r="W47" s="1223"/>
      <c r="X47" s="1181"/>
      <c r="Y47" s="1181"/>
      <c r="Z47" s="1181"/>
      <c r="AA47" s="1181"/>
      <c r="AB47" s="1181"/>
      <c r="AC47" s="1181"/>
      <c r="AD47" s="1181"/>
      <c r="AE47" s="1181"/>
      <c r="AF47" s="1181"/>
      <c r="AG47" s="1181"/>
      <c r="AH47" s="1181"/>
      <c r="AI47" s="1181"/>
      <c r="AJ47" s="1181"/>
      <c r="AK47" s="1181"/>
      <c r="AL47" s="1181"/>
      <c r="AM47" s="1181"/>
      <c r="AN47" s="1181"/>
      <c r="AO47" s="1181"/>
      <c r="AP47" s="1181"/>
      <c r="AQ47" s="1181"/>
    </row>
    <row r="48" spans="1:43" s="1845" customFormat="1" ht="17.25" hidden="1" customHeight="1">
      <c r="A48" s="243"/>
      <c r="C48" s="130"/>
      <c r="D48" s="2039">
        <v>8</v>
      </c>
      <c r="E48" s="2041" t="s">
        <v>178</v>
      </c>
      <c r="F48" s="2043" t="s">
        <v>48</v>
      </c>
      <c r="G48" s="2041"/>
      <c r="H48" s="2046"/>
      <c r="I48" s="2048"/>
      <c r="J48" s="2050"/>
      <c r="K48" s="2037"/>
      <c r="L48" s="2037"/>
      <c r="M48" s="2037"/>
      <c r="N48" s="2053"/>
      <c r="O48" s="2037"/>
      <c r="P48" s="2037"/>
      <c r="Q48" s="2037"/>
      <c r="R48" s="2056"/>
      <c r="S48" s="2037"/>
      <c r="T48" s="1383"/>
      <c r="U48" s="1383"/>
      <c r="V48" s="1385"/>
      <c r="W48" s="1217"/>
      <c r="X48" s="1188"/>
      <c r="Y48" s="1188"/>
      <c r="Z48" s="1188"/>
      <c r="AA48" s="1188"/>
      <c r="AB48" s="1188"/>
      <c r="AC48" s="1188" t="s">
        <v>179</v>
      </c>
      <c r="AD48" s="1188" t="s">
        <v>180</v>
      </c>
      <c r="AE48" s="1188" t="s">
        <v>181</v>
      </c>
      <c r="AF48" s="1188" t="s">
        <v>182</v>
      </c>
      <c r="AG48" s="1188" t="s">
        <v>183</v>
      </c>
      <c r="AH48" s="1188" t="str">
        <f>IF($E$48=0,"",$E$48)</f>
        <v>Плата за подключение (технологическое присоединение) к системе теплоснабжения</v>
      </c>
      <c r="AI48" s="1188" t="str">
        <f>IF($G$48=0,"",$G$48)</f>
        <v/>
      </c>
      <c r="AJ48" s="1188" t="str">
        <f>IF($J$48=0,"",$J$48)</f>
        <v/>
      </c>
      <c r="AK48" s="1188" t="str">
        <f>IF($K$48="нет","без дифференциации",IF($N$48=0,"",$N$48))</f>
        <v/>
      </c>
      <c r="AL48" s="1188" t="str">
        <f>IF($O$48="нет","без дифференциации",IF($R$48=0,"",$R$48))</f>
        <v/>
      </c>
      <c r="AM48" s="1188" t="str">
        <f>IF($S$48="нет","без дифференциации",IF($V$48=0,"",$V$48))</f>
        <v/>
      </c>
      <c r="AN48" s="1684">
        <f>$I$48</f>
        <v>0</v>
      </c>
      <c r="AO48" s="1188" t="str">
        <f>$I$48&amp;"."&amp;$M$48</f>
        <v>.</v>
      </c>
      <c r="AP48" s="1181" t="str">
        <f>$I$48&amp;"."&amp;$M$48&amp;"."&amp;$Q$48</f>
        <v>..</v>
      </c>
      <c r="AQ48" s="1181" t="str">
        <f>$I$48&amp;"."&amp;$M$48&amp;"."&amp;$Q$48&amp;"."&amp;$U$48</f>
        <v>...</v>
      </c>
    </row>
    <row r="49" spans="1:43" s="1845" customFormat="1" ht="17.25" hidden="1" customHeight="1">
      <c r="A49" s="243"/>
      <c r="C49" s="242"/>
      <c r="D49" s="2039"/>
      <c r="E49" s="2041"/>
      <c r="F49" s="2044"/>
      <c r="G49" s="2041"/>
      <c r="H49" s="2047"/>
      <c r="I49" s="2049"/>
      <c r="J49" s="2051"/>
      <c r="K49" s="2038"/>
      <c r="L49" s="2038"/>
      <c r="M49" s="2038"/>
      <c r="N49" s="2054"/>
      <c r="O49" s="2038"/>
      <c r="P49" s="2038"/>
      <c r="Q49" s="2038"/>
      <c r="R49" s="2055"/>
      <c r="S49" s="2038"/>
      <c r="T49" s="1218"/>
      <c r="U49" s="1218"/>
      <c r="V49" s="1218"/>
      <c r="W49" s="1219"/>
      <c r="X49" s="1181"/>
      <c r="Y49" s="1181"/>
      <c r="Z49" s="1181"/>
      <c r="AA49" s="1181"/>
      <c r="AB49" s="1181"/>
      <c r="AC49" s="1181"/>
      <c r="AD49" s="1181"/>
      <c r="AE49" s="1181"/>
      <c r="AF49" s="1181"/>
      <c r="AG49" s="1181"/>
      <c r="AH49" s="1181"/>
      <c r="AI49" s="1181"/>
      <c r="AJ49" s="1181"/>
      <c r="AK49" s="1181"/>
      <c r="AL49" s="1181"/>
      <c r="AM49" s="1181"/>
      <c r="AN49" s="1181"/>
      <c r="AO49" s="1181"/>
      <c r="AP49" s="1181"/>
      <c r="AQ49" s="1181"/>
    </row>
    <row r="50" spans="1:43" s="1845" customFormat="1" ht="17.25" hidden="1" customHeight="1">
      <c r="A50" s="243"/>
      <c r="C50" s="242"/>
      <c r="D50" s="2040"/>
      <c r="E50" s="2042"/>
      <c r="F50" s="2044"/>
      <c r="G50" s="2042"/>
      <c r="H50" s="2047"/>
      <c r="I50" s="2049"/>
      <c r="J50" s="2052"/>
      <c r="K50" s="2038"/>
      <c r="L50" s="2038"/>
      <c r="M50" s="2038"/>
      <c r="N50" s="2055"/>
      <c r="O50" s="2038"/>
      <c r="P50" s="1384"/>
      <c r="Q50" s="1218"/>
      <c r="R50" s="1218"/>
      <c r="S50" s="254"/>
      <c r="T50" s="254"/>
      <c r="U50" s="254"/>
      <c r="V50" s="254"/>
      <c r="W50" s="1219"/>
      <c r="X50" s="1181"/>
      <c r="Y50" s="1181"/>
      <c r="Z50" s="1181"/>
      <c r="AA50" s="1181"/>
      <c r="AB50" s="1181"/>
      <c r="AC50" s="1181"/>
      <c r="AD50" s="1181"/>
      <c r="AE50" s="1181"/>
      <c r="AF50" s="1181"/>
      <c r="AG50" s="1181"/>
      <c r="AH50" s="1181"/>
      <c r="AI50" s="1181"/>
      <c r="AJ50" s="1181"/>
      <c r="AK50" s="1181"/>
      <c r="AL50" s="1181"/>
      <c r="AM50" s="1181"/>
      <c r="AN50" s="1181"/>
      <c r="AO50" s="1181"/>
      <c r="AP50" s="1181"/>
      <c r="AQ50" s="1181"/>
    </row>
    <row r="51" spans="1:43" s="1844" customFormat="1" ht="17.25" hidden="1" customHeight="1">
      <c r="A51" s="243"/>
      <c r="C51" s="130"/>
      <c r="D51" s="2040"/>
      <c r="E51" s="2042"/>
      <c r="F51" s="2044"/>
      <c r="G51" s="2042"/>
      <c r="H51" s="2047"/>
      <c r="I51" s="2049"/>
      <c r="J51" s="2052"/>
      <c r="K51" s="2038"/>
      <c r="L51" s="1218"/>
      <c r="M51" s="1218"/>
      <c r="N51" s="1218"/>
      <c r="O51" s="1218"/>
      <c r="P51" s="1218"/>
      <c r="Q51" s="1218"/>
      <c r="R51" s="1218"/>
      <c r="S51" s="254"/>
      <c r="T51" s="254"/>
      <c r="U51" s="254"/>
      <c r="V51" s="254"/>
      <c r="W51" s="1219"/>
      <c r="Y51" s="1188"/>
      <c r="Z51" s="1188"/>
      <c r="AA51" s="1188"/>
      <c r="AB51" s="1188"/>
      <c r="AC51" s="1188"/>
      <c r="AD51" s="1188"/>
      <c r="AE51" s="1188"/>
      <c r="AF51" s="1188"/>
      <c r="AG51" s="1188"/>
      <c r="AH51" s="1188"/>
      <c r="AI51" s="1188"/>
      <c r="AJ51" s="1188"/>
      <c r="AK51" s="1188"/>
      <c r="AL51" s="1188"/>
      <c r="AM51" s="1188"/>
      <c r="AN51" s="1188"/>
      <c r="AO51" s="1188"/>
      <c r="AP51" s="1188"/>
      <c r="AQ51" s="1188"/>
    </row>
    <row r="52" spans="1:43" s="1845" customFormat="1" ht="17.25" hidden="1" customHeight="1">
      <c r="A52" s="243"/>
      <c r="C52" s="242"/>
      <c r="D52" s="2040"/>
      <c r="E52" s="2042"/>
      <c r="F52" s="2045"/>
      <c r="G52" s="2042"/>
      <c r="H52" s="1220"/>
      <c r="I52" s="1221"/>
      <c r="J52" s="1221"/>
      <c r="K52" s="1221"/>
      <c r="L52" s="1221"/>
      <c r="M52" s="1221"/>
      <c r="N52" s="1221"/>
      <c r="O52" s="1221"/>
      <c r="P52" s="1221"/>
      <c r="Q52" s="1221"/>
      <c r="R52" s="1221"/>
      <c r="S52" s="1222"/>
      <c r="T52" s="1222"/>
      <c r="U52" s="1222"/>
      <c r="V52" s="1222"/>
      <c r="W52" s="1223"/>
      <c r="X52" s="1181"/>
      <c r="Y52" s="1181"/>
      <c r="Z52" s="1181"/>
      <c r="AA52" s="1181"/>
      <c r="AB52" s="1181"/>
      <c r="AC52" s="1181"/>
      <c r="AD52" s="1181"/>
      <c r="AE52" s="1181"/>
      <c r="AF52" s="1181"/>
      <c r="AG52" s="1181"/>
      <c r="AH52" s="1181"/>
      <c r="AI52" s="1181"/>
      <c r="AJ52" s="1181"/>
      <c r="AK52" s="1181"/>
      <c r="AL52" s="1181"/>
      <c r="AM52" s="1181"/>
      <c r="AN52" s="1181"/>
      <c r="AO52" s="1181"/>
      <c r="AP52" s="1181"/>
      <c r="AQ52" s="1181"/>
    </row>
    <row r="53" spans="1:43" ht="11.25" hidden="1" customHeight="1"/>
    <row r="54" spans="1:43" ht="11.25" hidden="1" customHeight="1">
      <c r="E54" s="2059" t="s">
        <v>184</v>
      </c>
      <c r="F54" s="2059"/>
      <c r="G54" s="2059"/>
      <c r="H54" s="2059"/>
      <c r="I54" s="2059"/>
      <c r="J54" s="2059"/>
      <c r="K54" s="2059"/>
      <c r="L54" s="2059"/>
      <c r="M54" s="2059"/>
      <c r="N54" s="2059"/>
      <c r="O54" s="2059"/>
      <c r="P54" s="2059"/>
      <c r="Q54" s="2059"/>
      <c r="R54" s="2059"/>
      <c r="S54" s="2059"/>
      <c r="T54" s="2059"/>
      <c r="U54" s="2059"/>
      <c r="V54" s="2059"/>
      <c r="W54" s="2059"/>
    </row>
    <row r="55" spans="1:43" ht="36.75" hidden="1" customHeight="1">
      <c r="E55" s="2057" t="s">
        <v>185</v>
      </c>
      <c r="F55" s="2057"/>
      <c r="G55" s="2058"/>
      <c r="H55" s="2058"/>
      <c r="I55" s="2058"/>
      <c r="J55" s="2058"/>
      <c r="K55" s="2058"/>
      <c r="L55" s="2058"/>
      <c r="M55" s="2058"/>
      <c r="N55" s="2058"/>
      <c r="O55" s="2058"/>
      <c r="P55" s="2058"/>
      <c r="Q55" s="2058"/>
      <c r="R55" s="2058"/>
      <c r="S55" s="2058"/>
      <c r="T55" s="2058"/>
      <c r="U55" s="2058"/>
      <c r="V55" s="2058"/>
      <c r="W55" s="2058"/>
    </row>
    <row r="56" spans="1:43" ht="28.5" hidden="1" customHeight="1">
      <c r="E56" s="2057" t="s">
        <v>186</v>
      </c>
      <c r="F56" s="2057"/>
      <c r="G56" s="2058"/>
      <c r="H56" s="2058"/>
      <c r="I56" s="2058"/>
      <c r="J56" s="2058"/>
      <c r="K56" s="2058"/>
      <c r="L56" s="2058"/>
      <c r="M56" s="2058"/>
      <c r="N56" s="2058"/>
      <c r="O56" s="2058"/>
      <c r="P56" s="2058"/>
      <c r="Q56" s="2058"/>
      <c r="R56" s="2058"/>
      <c r="S56" s="2058"/>
      <c r="T56" s="2058"/>
      <c r="U56" s="2058"/>
      <c r="V56" s="2058"/>
      <c r="W56" s="2058"/>
    </row>
    <row r="57" spans="1:43" ht="27" hidden="1" customHeight="1">
      <c r="E57" s="2057" t="s">
        <v>187</v>
      </c>
      <c r="F57" s="2057"/>
      <c r="G57" s="2058"/>
      <c r="H57" s="2058"/>
      <c r="I57" s="2058"/>
      <c r="J57" s="2058"/>
      <c r="K57" s="2058"/>
      <c r="L57" s="2058"/>
      <c r="M57" s="2058"/>
      <c r="N57" s="2058"/>
      <c r="O57" s="2058"/>
      <c r="P57" s="2058"/>
      <c r="Q57" s="2058"/>
      <c r="R57" s="2058"/>
      <c r="S57" s="2058"/>
      <c r="T57" s="2058"/>
      <c r="U57" s="2058"/>
      <c r="V57" s="2058"/>
      <c r="W57" s="2058"/>
    </row>
    <row r="58" spans="1:43" ht="17.25" hidden="1" customHeight="1">
      <c r="E58" s="2057" t="s">
        <v>188</v>
      </c>
      <c r="F58" s="2057"/>
      <c r="G58" s="2058"/>
      <c r="H58" s="2058"/>
      <c r="I58" s="2058"/>
      <c r="J58" s="2058"/>
      <c r="K58" s="2058"/>
      <c r="L58" s="2058"/>
      <c r="M58" s="2058"/>
      <c r="N58" s="2058"/>
      <c r="O58" s="2058"/>
      <c r="P58" s="2058"/>
      <c r="Q58" s="2058"/>
      <c r="R58" s="2058"/>
      <c r="S58" s="2058"/>
      <c r="T58" s="2058"/>
      <c r="U58" s="2058"/>
      <c r="V58" s="2058"/>
      <c r="W58" s="2058"/>
    </row>
    <row r="59" spans="1:43" ht="15" hidden="1" customHeight="1">
      <c r="E59" s="265"/>
      <c r="F59" s="1206"/>
      <c r="G59" s="79"/>
      <c r="H59" s="79"/>
      <c r="I59" s="79"/>
      <c r="J59" s="79"/>
      <c r="K59" s="79"/>
      <c r="L59" s="79"/>
      <c r="M59" s="79"/>
      <c r="N59" s="79"/>
      <c r="O59" s="79"/>
      <c r="P59" s="79"/>
      <c r="Q59" s="79"/>
      <c r="R59" s="79"/>
      <c r="S59" s="79"/>
      <c r="T59" s="79"/>
      <c r="U59" s="79"/>
      <c r="V59" s="79"/>
      <c r="W59" s="79"/>
    </row>
    <row r="60" spans="1:43" ht="15" hidden="1" customHeight="1">
      <c r="E60" s="2059" t="s">
        <v>189</v>
      </c>
      <c r="F60" s="2059"/>
      <c r="G60" s="2059"/>
      <c r="H60" s="2059"/>
      <c r="I60" s="2059"/>
      <c r="J60" s="2059"/>
      <c r="K60" s="2059"/>
      <c r="L60" s="2059"/>
      <c r="M60" s="2059"/>
      <c r="N60" s="2059"/>
      <c r="O60" s="2059"/>
      <c r="P60" s="2059"/>
      <c r="Q60" s="2059"/>
      <c r="R60" s="2059"/>
      <c r="S60" s="2059"/>
      <c r="T60" s="2059"/>
      <c r="U60" s="2059"/>
      <c r="V60" s="2059"/>
      <c r="W60" s="2059"/>
    </row>
    <row r="61" spans="1:43" ht="17.25" hidden="1" customHeight="1">
      <c r="E61" s="2057" t="s">
        <v>190</v>
      </c>
      <c r="F61" s="2057"/>
      <c r="G61" s="2058"/>
      <c r="H61" s="2058"/>
      <c r="I61" s="2058"/>
      <c r="J61" s="2058"/>
      <c r="K61" s="2058"/>
      <c r="L61" s="2058"/>
      <c r="M61" s="2058"/>
      <c r="N61" s="2058"/>
      <c r="O61" s="2058"/>
      <c r="P61" s="2058"/>
      <c r="Q61" s="2058"/>
      <c r="R61" s="2058"/>
      <c r="S61" s="2058"/>
      <c r="T61" s="2058"/>
      <c r="U61" s="2058"/>
      <c r="V61" s="2058"/>
      <c r="W61" s="2058"/>
    </row>
    <row r="62" spans="1:43" ht="17.25" hidden="1" customHeight="1">
      <c r="E62" s="2057" t="s">
        <v>191</v>
      </c>
      <c r="F62" s="2057"/>
      <c r="G62" s="2058"/>
      <c r="H62" s="2058"/>
      <c r="I62" s="2058"/>
      <c r="J62" s="2058"/>
      <c r="K62" s="2058"/>
      <c r="L62" s="2058"/>
      <c r="M62" s="2058"/>
      <c r="N62" s="2058"/>
      <c r="O62" s="2058"/>
      <c r="P62" s="2058"/>
      <c r="Q62" s="2058"/>
      <c r="R62" s="2058"/>
      <c r="S62" s="2058"/>
      <c r="T62" s="2058"/>
      <c r="U62" s="2058"/>
      <c r="V62" s="2058"/>
      <c r="W62" s="2058"/>
    </row>
    <row r="63" spans="1:43" s="1846" customFormat="1" ht="11.25" hidden="1" customHeight="1">
      <c r="A63" s="193"/>
      <c r="B63" s="193"/>
      <c r="Y63" s="1181"/>
      <c r="Z63" s="1181"/>
      <c r="AA63" s="1181"/>
      <c r="AB63" s="1181"/>
      <c r="AC63" s="1181"/>
      <c r="AD63" s="1181"/>
      <c r="AE63" s="1181"/>
      <c r="AF63" s="1181"/>
      <c r="AG63" s="1181"/>
      <c r="AH63" s="1181"/>
      <c r="AI63" s="1181"/>
      <c r="AJ63" s="1181"/>
      <c r="AK63" s="1181"/>
      <c r="AL63" s="1181"/>
      <c r="AM63" s="1181"/>
      <c r="AN63" s="1181"/>
      <c r="AO63" s="1181"/>
      <c r="AP63" s="1181"/>
      <c r="AQ63" s="1181"/>
    </row>
    <row r="64" spans="1:43" s="1846" customFormat="1" ht="17.25" hidden="1" customHeight="1">
      <c r="A64" s="243"/>
      <c r="C64" s="130"/>
      <c r="D64" s="2039">
        <v>1</v>
      </c>
      <c r="E64" s="2041" t="s">
        <v>192</v>
      </c>
      <c r="F64" s="2043" t="s">
        <v>48</v>
      </c>
      <c r="G64" s="2041"/>
      <c r="H64" s="2046"/>
      <c r="I64" s="2048"/>
      <c r="J64" s="2050"/>
      <c r="K64" s="2037"/>
      <c r="L64" s="2037"/>
      <c r="M64" s="2037"/>
      <c r="N64" s="2053"/>
      <c r="O64" s="2037"/>
      <c r="P64" s="2037"/>
      <c r="Q64" s="2037"/>
      <c r="R64" s="2056"/>
      <c r="S64" s="2037"/>
      <c r="T64" s="1383"/>
      <c r="U64" s="1383"/>
      <c r="V64" s="1385"/>
      <c r="W64" s="1217"/>
      <c r="Y64" s="1188"/>
      <c r="Z64" s="1188"/>
      <c r="AA64" s="1188"/>
      <c r="AB64" s="1188"/>
      <c r="AC64" s="1188" t="s">
        <v>193</v>
      </c>
      <c r="AD64" s="1188" t="s">
        <v>194</v>
      </c>
      <c r="AE64" s="1188" t="s">
        <v>195</v>
      </c>
      <c r="AF64" s="1188" t="s">
        <v>196</v>
      </c>
      <c r="AG64" s="1188"/>
      <c r="AH64" s="1188" t="str">
        <f>IF($E$64=0,"",$E$64)</f>
        <v>Тариф на питьевую воду (питьевое водоснабжение)</v>
      </c>
      <c r="AI64" s="1188" t="str">
        <f>IF($G$64=0,"",$G$64)</f>
        <v/>
      </c>
      <c r="AJ64" s="1188" t="str">
        <f>IF($J$64=0,"",$J$64)</f>
        <v/>
      </c>
      <c r="AK64" s="1188" t="str">
        <f>IF($K$64="нет","без дифференциации",IF($N$64=0,"",$N$64))</f>
        <v/>
      </c>
      <c r="AL64" s="1188" t="str">
        <f>IF($O$64="нет","без дифференциации",IF($R$64=0,"",$R$64))</f>
        <v/>
      </c>
      <c r="AM64" s="1188" t="str">
        <f>IF($S$64="нет","без дифференциации",IF($V$64=0,"",$V$64))</f>
        <v/>
      </c>
      <c r="AN64" s="1188">
        <f>$I$64</f>
        <v>0</v>
      </c>
      <c r="AO64" s="1188" t="str">
        <f>$I$64&amp;"."&amp;$M$64</f>
        <v>.</v>
      </c>
      <c r="AP64" s="1188" t="str">
        <f>$I$64&amp;"."&amp;$M$64&amp;"."&amp;$Q$64</f>
        <v>..</v>
      </c>
      <c r="AQ64" s="1188" t="str">
        <f>$I$64&amp;"."&amp;$M$64&amp;"."&amp;$Q$64&amp;"."&amp;$U$64</f>
        <v>...</v>
      </c>
    </row>
    <row r="65" spans="1:43" s="1846" customFormat="1" ht="17.25" hidden="1" customHeight="1">
      <c r="A65" s="243"/>
      <c r="C65" s="242"/>
      <c r="D65" s="2039"/>
      <c r="E65" s="2041"/>
      <c r="F65" s="2044"/>
      <c r="G65" s="2041"/>
      <c r="H65" s="2047"/>
      <c r="I65" s="2049"/>
      <c r="J65" s="2051"/>
      <c r="K65" s="2038"/>
      <c r="L65" s="2038"/>
      <c r="M65" s="2038"/>
      <c r="N65" s="2054"/>
      <c r="O65" s="2038"/>
      <c r="P65" s="2038"/>
      <c r="Q65" s="2038"/>
      <c r="R65" s="2055"/>
      <c r="S65" s="2038"/>
      <c r="T65" s="1218"/>
      <c r="U65" s="1218"/>
      <c r="V65" s="1218"/>
      <c r="W65" s="1219"/>
      <c r="Y65" s="1181"/>
      <c r="Z65" s="1181"/>
      <c r="AA65" s="1181"/>
      <c r="AB65" s="1181"/>
      <c r="AC65" s="1181"/>
      <c r="AD65" s="1181"/>
      <c r="AE65" s="1181"/>
      <c r="AF65" s="1181"/>
      <c r="AG65" s="1181"/>
      <c r="AH65" s="1181"/>
      <c r="AI65" s="1181"/>
      <c r="AJ65" s="1181"/>
      <c r="AK65" s="1181"/>
      <c r="AL65" s="1181"/>
      <c r="AM65" s="1181"/>
      <c r="AN65" s="1181"/>
      <c r="AO65" s="1181"/>
      <c r="AP65" s="1181"/>
      <c r="AQ65" s="1181"/>
    </row>
    <row r="66" spans="1:43" s="1847" customFormat="1" ht="17.25" hidden="1" customHeight="1">
      <c r="A66" s="243"/>
      <c r="C66" s="130"/>
      <c r="D66" s="2039"/>
      <c r="E66" s="2041"/>
      <c r="F66" s="2044"/>
      <c r="G66" s="2041"/>
      <c r="H66" s="2047"/>
      <c r="I66" s="2049"/>
      <c r="J66" s="2052"/>
      <c r="K66" s="2038"/>
      <c r="L66" s="2038"/>
      <c r="M66" s="2038"/>
      <c r="N66" s="2055"/>
      <c r="O66" s="2038"/>
      <c r="P66" s="1384"/>
      <c r="Q66" s="1218"/>
      <c r="R66" s="1218"/>
      <c r="S66" s="254"/>
      <c r="T66" s="254"/>
      <c r="U66" s="254"/>
      <c r="V66" s="254"/>
      <c r="W66" s="1219"/>
      <c r="Y66" s="1188"/>
      <c r="Z66" s="1188"/>
      <c r="AA66" s="1188"/>
      <c r="AB66" s="1188"/>
      <c r="AC66" s="1188"/>
      <c r="AD66" s="1188"/>
      <c r="AE66" s="1188"/>
      <c r="AF66" s="1188"/>
      <c r="AG66" s="1188"/>
      <c r="AH66" s="1188"/>
      <c r="AI66" s="1188"/>
      <c r="AJ66" s="1188"/>
      <c r="AK66" s="1188"/>
      <c r="AL66" s="1188"/>
      <c r="AM66" s="1188"/>
      <c r="AN66" s="1188"/>
      <c r="AO66" s="1188"/>
      <c r="AP66" s="1188"/>
      <c r="AQ66" s="1188"/>
    </row>
    <row r="67" spans="1:43" s="1847" customFormat="1" ht="17.25" hidden="1" customHeight="1">
      <c r="A67" s="243"/>
      <c r="C67" s="242"/>
      <c r="D67" s="2039"/>
      <c r="E67" s="2041"/>
      <c r="F67" s="2044"/>
      <c r="G67" s="2041"/>
      <c r="H67" s="2047"/>
      <c r="I67" s="2049"/>
      <c r="J67" s="2052"/>
      <c r="K67" s="2038"/>
      <c r="L67" s="1218"/>
      <c r="M67" s="1218"/>
      <c r="N67" s="1218"/>
      <c r="O67" s="1218"/>
      <c r="P67" s="1218"/>
      <c r="Q67" s="1218"/>
      <c r="R67" s="1218"/>
      <c r="S67" s="254"/>
      <c r="T67" s="254"/>
      <c r="U67" s="254"/>
      <c r="V67" s="254"/>
      <c r="W67" s="1219"/>
      <c r="Y67" s="1181"/>
      <c r="Z67" s="1181"/>
      <c r="AA67" s="1181"/>
      <c r="AB67" s="1181"/>
      <c r="AC67" s="1181"/>
      <c r="AD67" s="1181"/>
      <c r="AE67" s="1181"/>
      <c r="AF67" s="1181"/>
      <c r="AG67" s="1181"/>
      <c r="AH67" s="1181"/>
      <c r="AI67" s="1181"/>
      <c r="AJ67" s="1181"/>
      <c r="AK67" s="1181"/>
      <c r="AL67" s="1181"/>
      <c r="AM67" s="1181"/>
      <c r="AN67" s="1181"/>
      <c r="AO67" s="1181"/>
      <c r="AP67" s="1181"/>
      <c r="AQ67" s="1181"/>
    </row>
    <row r="68" spans="1:43" s="1846" customFormat="1" ht="17.25" hidden="1" customHeight="1">
      <c r="A68" s="243"/>
      <c r="C68" s="242"/>
      <c r="D68" s="2040"/>
      <c r="E68" s="2042"/>
      <c r="F68" s="2045"/>
      <c r="G68" s="2042"/>
      <c r="H68" s="1220"/>
      <c r="I68" s="1221"/>
      <c r="J68" s="1221"/>
      <c r="K68" s="1221"/>
      <c r="L68" s="1221"/>
      <c r="M68" s="1221"/>
      <c r="N68" s="1221"/>
      <c r="O68" s="1221"/>
      <c r="P68" s="1221"/>
      <c r="Q68" s="1221"/>
      <c r="R68" s="1221"/>
      <c r="S68" s="1222"/>
      <c r="T68" s="1222"/>
      <c r="U68" s="1222"/>
      <c r="V68" s="1222"/>
      <c r="W68" s="1223"/>
      <c r="Y68" s="1181"/>
      <c r="Z68" s="1181"/>
      <c r="AA68" s="1181"/>
      <c r="AB68" s="1181"/>
      <c r="AC68" s="1181"/>
      <c r="AD68" s="1181"/>
      <c r="AE68" s="1181"/>
      <c r="AF68" s="1181"/>
      <c r="AG68" s="1181"/>
      <c r="AH68" s="1181"/>
      <c r="AI68" s="1181"/>
      <c r="AJ68" s="1181"/>
      <c r="AK68" s="1181"/>
      <c r="AL68" s="1181"/>
      <c r="AM68" s="1181"/>
      <c r="AN68" s="1181"/>
      <c r="AO68" s="1181"/>
      <c r="AP68" s="1181"/>
      <c r="AQ68" s="1181"/>
    </row>
    <row r="69" spans="1:43" s="1846" customFormat="1" ht="17.25" hidden="1" customHeight="1">
      <c r="A69" s="243"/>
      <c r="C69" s="130"/>
      <c r="D69" s="2039">
        <v>2</v>
      </c>
      <c r="E69" s="2041" t="s">
        <v>197</v>
      </c>
      <c r="F69" s="2043" t="s">
        <v>48</v>
      </c>
      <c r="G69" s="2041"/>
      <c r="H69" s="2046"/>
      <c r="I69" s="2048"/>
      <c r="J69" s="2050"/>
      <c r="K69" s="2037"/>
      <c r="L69" s="2037"/>
      <c r="M69" s="2037"/>
      <c r="N69" s="2053"/>
      <c r="O69" s="2037"/>
      <c r="P69" s="2037"/>
      <c r="Q69" s="2037"/>
      <c r="R69" s="2056"/>
      <c r="S69" s="2037"/>
      <c r="T69" s="1359"/>
      <c r="U69" s="1359"/>
      <c r="V69" s="1361"/>
      <c r="W69" s="1217"/>
      <c r="X69" s="1188"/>
      <c r="Y69" s="1188"/>
      <c r="Z69" s="1188"/>
      <c r="AA69" s="1188"/>
      <c r="AB69" s="1188"/>
      <c r="AC69" s="1188" t="s">
        <v>198</v>
      </c>
      <c r="AD69" s="1188" t="s">
        <v>199</v>
      </c>
      <c r="AE69" s="1188" t="s">
        <v>200</v>
      </c>
      <c r="AF69" s="1188" t="s">
        <v>201</v>
      </c>
      <c r="AG69" s="1188"/>
      <c r="AH69" s="1188" t="str">
        <f>IF($E$69=0,"",$E$69)</f>
        <v>Тариф на техническую воду</v>
      </c>
      <c r="AI69" s="1188" t="str">
        <f>IF($G$69=0,"",$G$69)</f>
        <v/>
      </c>
      <c r="AJ69" s="1188" t="str">
        <f>IF($J$69=0,"",$J$69)</f>
        <v/>
      </c>
      <c r="AK69" s="1188" t="str">
        <f>IF($K$69="нет","без дифференциации",IF($N$69=0,"",$N$69))</f>
        <v/>
      </c>
      <c r="AL69" s="1188" t="str">
        <f>IF($O$69="нет","без дифференциации",IF($R$69=0,"",$R$69))</f>
        <v/>
      </c>
      <c r="AM69" s="1188" t="str">
        <f>IF($S$69="нет","без дифференциации",IF($V$69=0,"",$V$69))</f>
        <v/>
      </c>
      <c r="AN69" s="1684">
        <f>$I$69</f>
        <v>0</v>
      </c>
      <c r="AO69" s="1188" t="str">
        <f>$I$69&amp;"."&amp;$M$69</f>
        <v>.</v>
      </c>
      <c r="AP69" s="1181" t="str">
        <f>$I$69&amp;"."&amp;$M$69&amp;"."&amp;$Q$69</f>
        <v>..</v>
      </c>
      <c r="AQ69" s="1181" t="str">
        <f>$I$69&amp;"."&amp;$M$69&amp;"."&amp;$Q$69&amp;"."&amp;$U$69</f>
        <v>...</v>
      </c>
    </row>
    <row r="70" spans="1:43" s="1846" customFormat="1" ht="17.25" hidden="1" customHeight="1">
      <c r="A70" s="243"/>
      <c r="C70" s="242"/>
      <c r="D70" s="2039"/>
      <c r="E70" s="2041"/>
      <c r="F70" s="2044"/>
      <c r="G70" s="2041"/>
      <c r="H70" s="2047"/>
      <c r="I70" s="2049"/>
      <c r="J70" s="2051"/>
      <c r="K70" s="2038"/>
      <c r="L70" s="2038"/>
      <c r="M70" s="2038"/>
      <c r="N70" s="2054"/>
      <c r="O70" s="2038"/>
      <c r="P70" s="2038"/>
      <c r="Q70" s="2038"/>
      <c r="R70" s="2055"/>
      <c r="S70" s="2038"/>
      <c r="T70" s="1218"/>
      <c r="U70" s="1218"/>
      <c r="V70" s="1218"/>
      <c r="W70" s="1219"/>
      <c r="X70" s="1181"/>
      <c r="Y70" s="1181"/>
      <c r="Z70" s="1181"/>
      <c r="AA70" s="1181"/>
      <c r="AB70" s="1181"/>
      <c r="AC70" s="1181"/>
      <c r="AD70" s="1181"/>
      <c r="AE70" s="1181"/>
      <c r="AF70" s="1181"/>
      <c r="AG70" s="1181"/>
      <c r="AH70" s="1181"/>
      <c r="AI70" s="1181"/>
      <c r="AJ70" s="1181"/>
      <c r="AK70" s="1181"/>
      <c r="AL70" s="1181"/>
      <c r="AM70" s="1181"/>
      <c r="AN70" s="1181"/>
      <c r="AO70" s="1181"/>
      <c r="AP70" s="1181"/>
      <c r="AQ70" s="1181"/>
    </row>
    <row r="71" spans="1:43" s="1846" customFormat="1" ht="17.25" hidden="1" customHeight="1">
      <c r="A71" s="243"/>
      <c r="C71" s="242"/>
      <c r="D71" s="2040"/>
      <c r="E71" s="2042"/>
      <c r="F71" s="2044"/>
      <c r="G71" s="2042"/>
      <c r="H71" s="2047"/>
      <c r="I71" s="2049"/>
      <c r="J71" s="2052"/>
      <c r="K71" s="2038"/>
      <c r="L71" s="2038"/>
      <c r="M71" s="2038"/>
      <c r="N71" s="2055"/>
      <c r="O71" s="2038"/>
      <c r="P71" s="1360"/>
      <c r="Q71" s="1218"/>
      <c r="R71" s="1218"/>
      <c r="S71" s="254"/>
      <c r="T71" s="254"/>
      <c r="U71" s="254"/>
      <c r="V71" s="254"/>
      <c r="W71" s="1219"/>
      <c r="X71" s="1181"/>
      <c r="Y71" s="1181"/>
      <c r="Z71" s="1181"/>
      <c r="AA71" s="1181"/>
      <c r="AB71" s="1181"/>
      <c r="AC71" s="1181"/>
      <c r="AD71" s="1181"/>
      <c r="AE71" s="1181"/>
      <c r="AF71" s="1181"/>
      <c r="AG71" s="1181"/>
      <c r="AH71" s="1181"/>
      <c r="AI71" s="1181"/>
      <c r="AJ71" s="1181"/>
      <c r="AK71" s="1181"/>
      <c r="AL71" s="1181"/>
      <c r="AM71" s="1181"/>
      <c r="AN71" s="1181"/>
      <c r="AO71" s="1181"/>
      <c r="AP71" s="1181"/>
      <c r="AQ71" s="1181"/>
    </row>
    <row r="72" spans="1:43" s="1846" customFormat="1" ht="17.25" hidden="1" customHeight="1">
      <c r="A72" s="243"/>
      <c r="C72" s="242"/>
      <c r="D72" s="2040"/>
      <c r="E72" s="2042"/>
      <c r="F72" s="2044"/>
      <c r="G72" s="2042"/>
      <c r="H72" s="2047"/>
      <c r="I72" s="2049"/>
      <c r="J72" s="2052"/>
      <c r="K72" s="2038"/>
      <c r="L72" s="1218"/>
      <c r="M72" s="1218"/>
      <c r="N72" s="1218"/>
      <c r="O72" s="1218"/>
      <c r="P72" s="1218"/>
      <c r="Q72" s="1218"/>
      <c r="R72" s="1218"/>
      <c r="S72" s="254"/>
      <c r="T72" s="254"/>
      <c r="U72" s="254"/>
      <c r="V72" s="254"/>
      <c r="W72" s="1219"/>
      <c r="X72" s="1181"/>
      <c r="Y72" s="1181"/>
      <c r="Z72" s="1181"/>
      <c r="AA72" s="1181"/>
      <c r="AB72" s="1181"/>
      <c r="AC72" s="1181"/>
      <c r="AD72" s="1181"/>
      <c r="AE72" s="1181"/>
      <c r="AF72" s="1181"/>
      <c r="AG72" s="1181"/>
      <c r="AH72" s="1181"/>
      <c r="AI72" s="1181"/>
      <c r="AJ72" s="1181"/>
      <c r="AK72" s="1181"/>
      <c r="AL72" s="1181"/>
      <c r="AM72" s="1181"/>
      <c r="AN72" s="1181"/>
      <c r="AO72" s="1181"/>
      <c r="AP72" s="1181"/>
      <c r="AQ72" s="1181"/>
    </row>
    <row r="73" spans="1:43" s="1846" customFormat="1" ht="17.25" hidden="1" customHeight="1">
      <c r="A73" s="243"/>
      <c r="C73" s="242"/>
      <c r="D73" s="2040"/>
      <c r="E73" s="2042"/>
      <c r="F73" s="2045"/>
      <c r="G73" s="2042"/>
      <c r="H73" s="1220"/>
      <c r="I73" s="1221"/>
      <c r="J73" s="1221"/>
      <c r="K73" s="1221"/>
      <c r="L73" s="1221"/>
      <c r="M73" s="1221"/>
      <c r="N73" s="1221"/>
      <c r="O73" s="1221"/>
      <c r="P73" s="1221"/>
      <c r="Q73" s="1221"/>
      <c r="R73" s="1221"/>
      <c r="S73" s="1222"/>
      <c r="T73" s="1222"/>
      <c r="U73" s="1222"/>
      <c r="V73" s="1222"/>
      <c r="W73" s="1223"/>
      <c r="X73" s="1181"/>
      <c r="Y73" s="1181"/>
      <c r="Z73" s="1181"/>
      <c r="AA73" s="1181"/>
      <c r="AB73" s="1181"/>
      <c r="AC73" s="1181"/>
      <c r="AD73" s="1181"/>
      <c r="AE73" s="1181"/>
      <c r="AF73" s="1181"/>
      <c r="AG73" s="1181"/>
      <c r="AH73" s="1181"/>
      <c r="AI73" s="1181"/>
      <c r="AJ73" s="1181"/>
      <c r="AK73" s="1181"/>
      <c r="AL73" s="1181"/>
      <c r="AM73" s="1181"/>
      <c r="AN73" s="1181"/>
      <c r="AO73" s="1181"/>
      <c r="AP73" s="1181"/>
      <c r="AQ73" s="1181"/>
    </row>
    <row r="74" spans="1:43" s="1846" customFormat="1" ht="17.25" hidden="1" customHeight="1">
      <c r="A74" s="243"/>
      <c r="C74" s="130"/>
      <c r="D74" s="2039">
        <v>3</v>
      </c>
      <c r="E74" s="2041" t="s">
        <v>202</v>
      </c>
      <c r="F74" s="2043" t="s">
        <v>48</v>
      </c>
      <c r="G74" s="2041"/>
      <c r="H74" s="2046"/>
      <c r="I74" s="2048"/>
      <c r="J74" s="2050"/>
      <c r="K74" s="2037"/>
      <c r="L74" s="2037"/>
      <c r="M74" s="2037"/>
      <c r="N74" s="2053"/>
      <c r="O74" s="2037"/>
      <c r="P74" s="2037"/>
      <c r="Q74" s="2037"/>
      <c r="R74" s="2056"/>
      <c r="S74" s="2037"/>
      <c r="T74" s="1359"/>
      <c r="U74" s="1359"/>
      <c r="V74" s="1361"/>
      <c r="W74" s="1217"/>
      <c r="X74" s="1188"/>
      <c r="Y74" s="1188"/>
      <c r="Z74" s="1188"/>
      <c r="AA74" s="1188"/>
      <c r="AB74" s="1188"/>
      <c r="AC74" s="1188" t="s">
        <v>203</v>
      </c>
      <c r="AD74" s="1188" t="s">
        <v>204</v>
      </c>
      <c r="AE74" s="1188" t="s">
        <v>205</v>
      </c>
      <c r="AF74" s="1188" t="s">
        <v>206</v>
      </c>
      <c r="AG74" s="1188"/>
      <c r="AH74" s="1188" t="str">
        <f>IF($E$74=0,"",$E$74)</f>
        <v>Тариф на транспортировку воды</v>
      </c>
      <c r="AI74" s="1188" t="str">
        <f>IF($G$74=0,"",$G$74)</f>
        <v/>
      </c>
      <c r="AJ74" s="1188" t="str">
        <f>IF($J$74=0,"",$J$74)</f>
        <v/>
      </c>
      <c r="AK74" s="1188" t="str">
        <f>IF($K$74="нет","без дифференциации",IF($N$74=0,"",$N$74))</f>
        <v/>
      </c>
      <c r="AL74" s="1188" t="str">
        <f>IF($O$74="нет","без дифференциации",IF($R$74=0,"",$R$74))</f>
        <v/>
      </c>
      <c r="AM74" s="1188" t="str">
        <f>IF($S$74="нет","без дифференциации",IF($V$74=0,"",$V$74))</f>
        <v/>
      </c>
      <c r="AN74" s="1684">
        <f>$I$74</f>
        <v>0</v>
      </c>
      <c r="AO74" s="1188" t="str">
        <f>$I$74&amp;"."&amp;$M$74</f>
        <v>.</v>
      </c>
      <c r="AP74" s="1181" t="str">
        <f>$I$74&amp;"."&amp;$M$74&amp;"."&amp;$Q$74</f>
        <v>..</v>
      </c>
      <c r="AQ74" s="1181" t="str">
        <f>$I$74&amp;"."&amp;$M$74&amp;"."&amp;$Q$74&amp;"."&amp;$U$74</f>
        <v>...</v>
      </c>
    </row>
    <row r="75" spans="1:43" s="1846" customFormat="1" ht="17.25" hidden="1" customHeight="1">
      <c r="A75" s="243"/>
      <c r="C75" s="242"/>
      <c r="D75" s="2039"/>
      <c r="E75" s="2041"/>
      <c r="F75" s="2044"/>
      <c r="G75" s="2041"/>
      <c r="H75" s="2047"/>
      <c r="I75" s="2049"/>
      <c r="J75" s="2051"/>
      <c r="K75" s="2038"/>
      <c r="L75" s="2038"/>
      <c r="M75" s="2038"/>
      <c r="N75" s="2054"/>
      <c r="O75" s="2038"/>
      <c r="P75" s="2038"/>
      <c r="Q75" s="2038"/>
      <c r="R75" s="2055"/>
      <c r="S75" s="2038"/>
      <c r="T75" s="1218"/>
      <c r="U75" s="1218"/>
      <c r="V75" s="1218"/>
      <c r="W75" s="1219"/>
      <c r="X75" s="1181"/>
      <c r="Y75" s="1181"/>
      <c r="Z75" s="1181"/>
      <c r="AA75" s="1181"/>
      <c r="AB75" s="1181"/>
      <c r="AC75" s="1181"/>
      <c r="AD75" s="1181"/>
      <c r="AE75" s="1181"/>
      <c r="AF75" s="1181"/>
      <c r="AG75" s="1181"/>
      <c r="AH75" s="1181"/>
      <c r="AI75" s="1181"/>
      <c r="AJ75" s="1181"/>
      <c r="AK75" s="1181"/>
      <c r="AL75" s="1181"/>
      <c r="AM75" s="1181"/>
      <c r="AN75" s="1181"/>
      <c r="AO75" s="1181"/>
      <c r="AP75" s="1181"/>
      <c r="AQ75" s="1181"/>
    </row>
    <row r="76" spans="1:43" s="1846" customFormat="1" ht="17.25" hidden="1" customHeight="1">
      <c r="A76" s="243"/>
      <c r="C76" s="242"/>
      <c r="D76" s="2040"/>
      <c r="E76" s="2042"/>
      <c r="F76" s="2044"/>
      <c r="G76" s="2042"/>
      <c r="H76" s="2047"/>
      <c r="I76" s="2049"/>
      <c r="J76" s="2052"/>
      <c r="K76" s="2038"/>
      <c r="L76" s="2038"/>
      <c r="M76" s="2038"/>
      <c r="N76" s="2055"/>
      <c r="O76" s="2038"/>
      <c r="P76" s="1360"/>
      <c r="Q76" s="1218"/>
      <c r="R76" s="1218"/>
      <c r="S76" s="254"/>
      <c r="T76" s="254"/>
      <c r="U76" s="254"/>
      <c r="V76" s="254"/>
      <c r="W76" s="1219"/>
      <c r="X76" s="1181"/>
      <c r="Y76" s="1181"/>
      <c r="Z76" s="1181"/>
      <c r="AA76" s="1181"/>
      <c r="AB76" s="1181"/>
      <c r="AC76" s="1181"/>
      <c r="AD76" s="1181"/>
      <c r="AE76" s="1181"/>
      <c r="AF76" s="1181"/>
      <c r="AG76" s="1181"/>
      <c r="AH76" s="1181"/>
      <c r="AI76" s="1181"/>
      <c r="AJ76" s="1181"/>
      <c r="AK76" s="1181"/>
      <c r="AL76" s="1181"/>
      <c r="AM76" s="1181"/>
      <c r="AN76" s="1181"/>
      <c r="AO76" s="1181"/>
      <c r="AP76" s="1181"/>
      <c r="AQ76" s="1181"/>
    </row>
    <row r="77" spans="1:43" s="1846" customFormat="1" ht="17.25" hidden="1" customHeight="1">
      <c r="A77" s="243"/>
      <c r="C77" s="242"/>
      <c r="D77" s="2040"/>
      <c r="E77" s="2042"/>
      <c r="F77" s="2044"/>
      <c r="G77" s="2042"/>
      <c r="H77" s="2047"/>
      <c r="I77" s="2049"/>
      <c r="J77" s="2052"/>
      <c r="K77" s="2038"/>
      <c r="L77" s="1218"/>
      <c r="M77" s="1218"/>
      <c r="N77" s="1218"/>
      <c r="O77" s="1218"/>
      <c r="P77" s="1218"/>
      <c r="Q77" s="1218"/>
      <c r="R77" s="1218"/>
      <c r="S77" s="254"/>
      <c r="T77" s="254"/>
      <c r="U77" s="254"/>
      <c r="V77" s="254"/>
      <c r="W77" s="1219"/>
      <c r="X77" s="1181"/>
      <c r="Y77" s="1181"/>
      <c r="Z77" s="1181"/>
      <c r="AA77" s="1181"/>
      <c r="AB77" s="1181"/>
      <c r="AC77" s="1181"/>
      <c r="AD77" s="1181"/>
      <c r="AE77" s="1181"/>
      <c r="AF77" s="1181"/>
      <c r="AG77" s="1181"/>
      <c r="AH77" s="1181"/>
      <c r="AI77" s="1181"/>
      <c r="AJ77" s="1181"/>
      <c r="AK77" s="1181"/>
      <c r="AL77" s="1181"/>
      <c r="AM77" s="1181"/>
      <c r="AN77" s="1181"/>
      <c r="AO77" s="1181"/>
      <c r="AP77" s="1181"/>
      <c r="AQ77" s="1181"/>
    </row>
    <row r="78" spans="1:43" s="1846" customFormat="1" ht="17.25" hidden="1" customHeight="1">
      <c r="A78" s="243"/>
      <c r="C78" s="242"/>
      <c r="D78" s="2040"/>
      <c r="E78" s="2042"/>
      <c r="F78" s="2045"/>
      <c r="G78" s="2042"/>
      <c r="H78" s="1220"/>
      <c r="I78" s="1221"/>
      <c r="J78" s="1221"/>
      <c r="K78" s="1221"/>
      <c r="L78" s="1221"/>
      <c r="M78" s="1221"/>
      <c r="N78" s="1221"/>
      <c r="O78" s="1221"/>
      <c r="P78" s="1221"/>
      <c r="Q78" s="1221"/>
      <c r="R78" s="1221"/>
      <c r="S78" s="1222"/>
      <c r="T78" s="1222"/>
      <c r="U78" s="1222"/>
      <c r="V78" s="1222"/>
      <c r="W78" s="1223"/>
      <c r="X78" s="1181"/>
      <c r="Y78" s="1181"/>
      <c r="Z78" s="1181"/>
      <c r="AA78" s="1181"/>
      <c r="AB78" s="1181"/>
      <c r="AC78" s="1181"/>
      <c r="AD78" s="1181"/>
      <c r="AE78" s="1181"/>
      <c r="AF78" s="1181"/>
      <c r="AG78" s="1181"/>
      <c r="AH78" s="1181"/>
      <c r="AI78" s="1181"/>
      <c r="AJ78" s="1181"/>
      <c r="AK78" s="1181"/>
      <c r="AL78" s="1181"/>
      <c r="AM78" s="1181"/>
      <c r="AN78" s="1181"/>
      <c r="AO78" s="1181"/>
      <c r="AP78" s="1181"/>
      <c r="AQ78" s="1181"/>
    </row>
    <row r="79" spans="1:43" s="1846" customFormat="1" ht="17.25" hidden="1" customHeight="1">
      <c r="A79" s="243"/>
      <c r="C79" s="130"/>
      <c r="D79" s="2039">
        <v>4</v>
      </c>
      <c r="E79" s="2041" t="s">
        <v>207</v>
      </c>
      <c r="F79" s="2043" t="s">
        <v>48</v>
      </c>
      <c r="G79" s="2041"/>
      <c r="H79" s="2046"/>
      <c r="I79" s="2048"/>
      <c r="J79" s="2050"/>
      <c r="K79" s="2037"/>
      <c r="L79" s="2037"/>
      <c r="M79" s="2037"/>
      <c r="N79" s="2053"/>
      <c r="O79" s="2037"/>
      <c r="P79" s="2037"/>
      <c r="Q79" s="2037"/>
      <c r="R79" s="2056"/>
      <c r="S79" s="2037"/>
      <c r="T79" s="1359"/>
      <c r="U79" s="1359"/>
      <c r="V79" s="1361"/>
      <c r="W79" s="1217"/>
      <c r="X79" s="1188"/>
      <c r="Y79" s="1188"/>
      <c r="Z79" s="1188"/>
      <c r="AA79" s="1188"/>
      <c r="AB79" s="1188"/>
      <c r="AC79" s="1188" t="s">
        <v>208</v>
      </c>
      <c r="AD79" s="1188" t="s">
        <v>209</v>
      </c>
      <c r="AE79" s="1188" t="s">
        <v>210</v>
      </c>
      <c r="AF79" s="1188" t="s">
        <v>211</v>
      </c>
      <c r="AG79" s="1188"/>
      <c r="AH79" s="1188" t="str">
        <f>IF($E$79=0,"",$E$79)</f>
        <v>Тариф на подвоз воды</v>
      </c>
      <c r="AI79" s="1188" t="str">
        <f>IF($G$79=0,"",$G$79)</f>
        <v/>
      </c>
      <c r="AJ79" s="1188" t="str">
        <f>IF($J$79=0,"",$J$79)</f>
        <v/>
      </c>
      <c r="AK79" s="1188" t="str">
        <f>IF($K$79="нет","без дифференциации",IF($N$79=0,"",$N$79))</f>
        <v/>
      </c>
      <c r="AL79" s="1188" t="str">
        <f>IF($O$79="нет","без дифференциации",IF($R$79=0,"",$R$79))</f>
        <v/>
      </c>
      <c r="AM79" s="1188" t="str">
        <f>IF($S$79="нет","без дифференциации",IF($V$79=0,"",$V$79))</f>
        <v/>
      </c>
      <c r="AN79" s="1684">
        <f>$I$79</f>
        <v>0</v>
      </c>
      <c r="AO79" s="1188" t="str">
        <f>$I$79&amp;"."&amp;$M$79</f>
        <v>.</v>
      </c>
      <c r="AP79" s="1181" t="str">
        <f>$I$79&amp;"."&amp;$M$79&amp;"."&amp;$Q$79</f>
        <v>..</v>
      </c>
      <c r="AQ79" s="1181" t="str">
        <f>$I$79&amp;"."&amp;$M$79&amp;"."&amp;$Q$79&amp;"."&amp;$U$79</f>
        <v>...</v>
      </c>
    </row>
    <row r="80" spans="1:43" s="1846" customFormat="1" ht="17.25" hidden="1" customHeight="1">
      <c r="A80" s="243"/>
      <c r="C80" s="242"/>
      <c r="D80" s="2039"/>
      <c r="E80" s="2041"/>
      <c r="F80" s="2044"/>
      <c r="G80" s="2041"/>
      <c r="H80" s="2047"/>
      <c r="I80" s="2049"/>
      <c r="J80" s="2051"/>
      <c r="K80" s="2038"/>
      <c r="L80" s="2038"/>
      <c r="M80" s="2038"/>
      <c r="N80" s="2054"/>
      <c r="O80" s="2038"/>
      <c r="P80" s="2038"/>
      <c r="Q80" s="2038"/>
      <c r="R80" s="2055"/>
      <c r="S80" s="2038"/>
      <c r="T80" s="1218"/>
      <c r="U80" s="1218"/>
      <c r="V80" s="1218"/>
      <c r="W80" s="1219"/>
      <c r="X80" s="1181"/>
      <c r="Y80" s="1181"/>
      <c r="Z80" s="1181"/>
      <c r="AA80" s="1181"/>
      <c r="AB80" s="1181"/>
      <c r="AC80" s="1181"/>
      <c r="AD80" s="1181"/>
      <c r="AE80" s="1181"/>
      <c r="AF80" s="1181"/>
      <c r="AG80" s="1181"/>
      <c r="AH80" s="1181"/>
      <c r="AI80" s="1181"/>
      <c r="AJ80" s="1181"/>
      <c r="AK80" s="1181"/>
      <c r="AL80" s="1181"/>
      <c r="AM80" s="1181"/>
      <c r="AN80" s="1181"/>
      <c r="AO80" s="1181"/>
      <c r="AP80" s="1181"/>
      <c r="AQ80" s="1181"/>
    </row>
    <row r="81" spans="1:43" s="1846" customFormat="1" ht="17.25" hidden="1" customHeight="1">
      <c r="A81" s="243"/>
      <c r="C81" s="242"/>
      <c r="D81" s="2040"/>
      <c r="E81" s="2042"/>
      <c r="F81" s="2044"/>
      <c r="G81" s="2042"/>
      <c r="H81" s="2047"/>
      <c r="I81" s="2049"/>
      <c r="J81" s="2052"/>
      <c r="K81" s="2038"/>
      <c r="L81" s="2038"/>
      <c r="M81" s="2038"/>
      <c r="N81" s="2055"/>
      <c r="O81" s="2038"/>
      <c r="P81" s="1360"/>
      <c r="Q81" s="1218"/>
      <c r="R81" s="1218"/>
      <c r="S81" s="254"/>
      <c r="T81" s="254"/>
      <c r="U81" s="254"/>
      <c r="V81" s="254"/>
      <c r="W81" s="1219"/>
      <c r="X81" s="1181"/>
      <c r="Y81" s="1181"/>
      <c r="Z81" s="1181"/>
      <c r="AA81" s="1181"/>
      <c r="AB81" s="1181"/>
      <c r="AC81" s="1181"/>
      <c r="AD81" s="1181"/>
      <c r="AE81" s="1181"/>
      <c r="AF81" s="1181"/>
      <c r="AG81" s="1181"/>
      <c r="AH81" s="1181"/>
      <c r="AI81" s="1181"/>
      <c r="AJ81" s="1181"/>
      <c r="AK81" s="1181"/>
      <c r="AL81" s="1181"/>
      <c r="AM81" s="1181"/>
      <c r="AN81" s="1181"/>
      <c r="AO81" s="1181"/>
      <c r="AP81" s="1181"/>
      <c r="AQ81" s="1181"/>
    </row>
    <row r="82" spans="1:43" s="1846" customFormat="1" ht="17.25" hidden="1" customHeight="1">
      <c r="A82" s="243"/>
      <c r="C82" s="242"/>
      <c r="D82" s="2040"/>
      <c r="E82" s="2042"/>
      <c r="F82" s="2044"/>
      <c r="G82" s="2042"/>
      <c r="H82" s="2047"/>
      <c r="I82" s="2049"/>
      <c r="J82" s="2052"/>
      <c r="K82" s="2038"/>
      <c r="L82" s="1218"/>
      <c r="M82" s="1218"/>
      <c r="N82" s="1218"/>
      <c r="O82" s="1218"/>
      <c r="P82" s="1218"/>
      <c r="Q82" s="1218"/>
      <c r="R82" s="1218"/>
      <c r="S82" s="254"/>
      <c r="T82" s="254"/>
      <c r="U82" s="254"/>
      <c r="V82" s="254"/>
      <c r="W82" s="1219"/>
      <c r="X82" s="1181"/>
      <c r="Y82" s="1181"/>
      <c r="Z82" s="1181"/>
      <c r="AA82" s="1181"/>
      <c r="AB82" s="1181"/>
      <c r="AC82" s="1181"/>
      <c r="AD82" s="1181"/>
      <c r="AE82" s="1181"/>
      <c r="AF82" s="1181"/>
      <c r="AG82" s="1181"/>
      <c r="AH82" s="1181"/>
      <c r="AI82" s="1181"/>
      <c r="AJ82" s="1181"/>
      <c r="AK82" s="1181"/>
      <c r="AL82" s="1181"/>
      <c r="AM82" s="1181"/>
      <c r="AN82" s="1181"/>
      <c r="AO82" s="1181"/>
      <c r="AP82" s="1181"/>
      <c r="AQ82" s="1181"/>
    </row>
    <row r="83" spans="1:43" s="1846" customFormat="1" ht="17.25" hidden="1" customHeight="1">
      <c r="A83" s="243"/>
      <c r="C83" s="242"/>
      <c r="D83" s="2040"/>
      <c r="E83" s="2042"/>
      <c r="F83" s="2045"/>
      <c r="G83" s="2042"/>
      <c r="H83" s="1220"/>
      <c r="I83" s="1221"/>
      <c r="J83" s="1221"/>
      <c r="K83" s="1221"/>
      <c r="L83" s="1221"/>
      <c r="M83" s="1221"/>
      <c r="N83" s="1221"/>
      <c r="O83" s="1221"/>
      <c r="P83" s="1221"/>
      <c r="Q83" s="1221"/>
      <c r="R83" s="1221"/>
      <c r="S83" s="1222"/>
      <c r="T83" s="1222"/>
      <c r="U83" s="1222"/>
      <c r="V83" s="1222"/>
      <c r="W83" s="1223"/>
      <c r="X83" s="1181"/>
      <c r="Y83" s="1181"/>
      <c r="Z83" s="1181"/>
      <c r="AA83" s="1181"/>
      <c r="AB83" s="1181"/>
      <c r="AC83" s="1181"/>
      <c r="AD83" s="1181"/>
      <c r="AE83" s="1181"/>
      <c r="AF83" s="1181"/>
      <c r="AG83" s="1181"/>
      <c r="AH83" s="1181"/>
      <c r="AI83" s="1181"/>
      <c r="AJ83" s="1181"/>
      <c r="AK83" s="1181"/>
      <c r="AL83" s="1181"/>
      <c r="AM83" s="1181"/>
      <c r="AN83" s="1181"/>
      <c r="AO83" s="1181"/>
      <c r="AP83" s="1181"/>
      <c r="AQ83" s="1181"/>
    </row>
    <row r="84" spans="1:43" s="1846" customFormat="1" ht="17.25" hidden="1" customHeight="1">
      <c r="A84" s="243"/>
      <c r="C84" s="130"/>
      <c r="D84" s="2039">
        <v>5</v>
      </c>
      <c r="E84" s="2041" t="s">
        <v>212</v>
      </c>
      <c r="F84" s="2043" t="s">
        <v>48</v>
      </c>
      <c r="G84" s="2041"/>
      <c r="H84" s="2046"/>
      <c r="I84" s="2048"/>
      <c r="J84" s="2050"/>
      <c r="K84" s="2037"/>
      <c r="L84" s="2037"/>
      <c r="M84" s="2037"/>
      <c r="N84" s="2053"/>
      <c r="O84" s="2037"/>
      <c r="P84" s="2037"/>
      <c r="Q84" s="2037"/>
      <c r="R84" s="2056"/>
      <c r="S84" s="2037"/>
      <c r="T84" s="1383"/>
      <c r="U84" s="1383"/>
      <c r="V84" s="1385"/>
      <c r="W84" s="1217"/>
      <c r="X84" s="1188"/>
      <c r="Y84" s="1188"/>
      <c r="Z84" s="1188"/>
      <c r="AA84" s="1188"/>
      <c r="AB84" s="1188"/>
      <c r="AC84" s="1188" t="s">
        <v>213</v>
      </c>
      <c r="AD84" s="1188" t="s">
        <v>214</v>
      </c>
      <c r="AE84" s="1188" t="s">
        <v>215</v>
      </c>
      <c r="AF84" s="1188" t="s">
        <v>216</v>
      </c>
      <c r="AG84" s="1188"/>
      <c r="AH84" s="1188" t="str">
        <f>IF($E$84=0,"",$E$84)</f>
        <v>Тариф на подключение (технологическое присоединение) к централизованной системе холодного водоснабжения</v>
      </c>
      <c r="AI84" s="1188" t="str">
        <f>IF($G$84=0,"",$G$84)</f>
        <v/>
      </c>
      <c r="AJ84" s="1188" t="str">
        <f>IF($J$84=0,"",$J$84)</f>
        <v/>
      </c>
      <c r="AK84" s="1188" t="str">
        <f>IF($K$84="нет","без дифференциации",IF($N$84=0,"",$N$84))</f>
        <v/>
      </c>
      <c r="AL84" s="1188" t="str">
        <f>IF($O$84="нет","без дифференциации",IF($R$84=0,"",$R$84))</f>
        <v/>
      </c>
      <c r="AM84" s="1188" t="str">
        <f>IF($S$84="нет","без дифференциации",IF($V$84=0,"",$V$84))</f>
        <v/>
      </c>
      <c r="AN84" s="1684">
        <f>$I$84</f>
        <v>0</v>
      </c>
      <c r="AO84" s="1188" t="str">
        <f>$I$84&amp;"."&amp;$M$84</f>
        <v>.</v>
      </c>
      <c r="AP84" s="1181" t="str">
        <f>$I$84&amp;"."&amp;$M$84&amp;"."&amp;$Q$84</f>
        <v>..</v>
      </c>
      <c r="AQ84" s="1181" t="str">
        <f>$I$84&amp;"."&amp;$M$84&amp;"."&amp;$Q$84&amp;"."&amp;$U$84</f>
        <v>...</v>
      </c>
    </row>
    <row r="85" spans="1:43" s="1846" customFormat="1" ht="17.25" hidden="1" customHeight="1">
      <c r="A85" s="243"/>
      <c r="C85" s="242"/>
      <c r="D85" s="2039"/>
      <c r="E85" s="2041"/>
      <c r="F85" s="2044"/>
      <c r="G85" s="2041"/>
      <c r="H85" s="2047"/>
      <c r="I85" s="2049"/>
      <c r="J85" s="2051"/>
      <c r="K85" s="2038"/>
      <c r="L85" s="2038"/>
      <c r="M85" s="2038"/>
      <c r="N85" s="2054"/>
      <c r="O85" s="2038"/>
      <c r="P85" s="2038"/>
      <c r="Q85" s="2038"/>
      <c r="R85" s="2055"/>
      <c r="S85" s="2038"/>
      <c r="T85" s="1218"/>
      <c r="U85" s="1218"/>
      <c r="V85" s="1218"/>
      <c r="W85" s="1219"/>
      <c r="X85" s="1181"/>
      <c r="Y85" s="1181"/>
      <c r="Z85" s="1181"/>
      <c r="AA85" s="1181"/>
      <c r="AB85" s="1181"/>
      <c r="AC85" s="1181"/>
      <c r="AD85" s="1181"/>
      <c r="AE85" s="1181"/>
      <c r="AF85" s="1181"/>
      <c r="AG85" s="1181"/>
      <c r="AH85" s="1181"/>
      <c r="AI85" s="1181"/>
      <c r="AJ85" s="1181"/>
      <c r="AK85" s="1181"/>
      <c r="AL85" s="1181"/>
      <c r="AM85" s="1181"/>
      <c r="AN85" s="1181"/>
      <c r="AO85" s="1181"/>
      <c r="AP85" s="1181"/>
      <c r="AQ85" s="1181"/>
    </row>
    <row r="86" spans="1:43" s="1846" customFormat="1" ht="17.25" hidden="1" customHeight="1">
      <c r="A86" s="243"/>
      <c r="C86" s="242"/>
      <c r="D86" s="2040"/>
      <c r="E86" s="2042"/>
      <c r="F86" s="2044"/>
      <c r="G86" s="2042"/>
      <c r="H86" s="2047"/>
      <c r="I86" s="2049"/>
      <c r="J86" s="2052"/>
      <c r="K86" s="2038"/>
      <c r="L86" s="2038"/>
      <c r="M86" s="2038"/>
      <c r="N86" s="2055"/>
      <c r="O86" s="2038"/>
      <c r="P86" s="1384"/>
      <c r="Q86" s="1218"/>
      <c r="R86" s="1218"/>
      <c r="S86" s="254"/>
      <c r="T86" s="254"/>
      <c r="U86" s="254"/>
      <c r="V86" s="254"/>
      <c r="W86" s="1219"/>
      <c r="X86" s="1181"/>
      <c r="Y86" s="1181"/>
      <c r="Z86" s="1181"/>
      <c r="AA86" s="1181"/>
      <c r="AB86" s="1181"/>
      <c r="AC86" s="1181"/>
      <c r="AD86" s="1181"/>
      <c r="AE86" s="1181"/>
      <c r="AF86" s="1181"/>
      <c r="AG86" s="1181"/>
      <c r="AH86" s="1181"/>
      <c r="AI86" s="1181"/>
      <c r="AJ86" s="1181"/>
      <c r="AK86" s="1181"/>
      <c r="AL86" s="1181"/>
      <c r="AM86" s="1181"/>
      <c r="AN86" s="1181"/>
      <c r="AO86" s="1181"/>
      <c r="AP86" s="1181"/>
      <c r="AQ86" s="1181"/>
    </row>
    <row r="87" spans="1:43" s="1846" customFormat="1" ht="17.25" hidden="1" customHeight="1">
      <c r="A87" s="243"/>
      <c r="C87" s="242"/>
      <c r="D87" s="2040"/>
      <c r="E87" s="2042"/>
      <c r="F87" s="2044"/>
      <c r="G87" s="2042"/>
      <c r="H87" s="2047"/>
      <c r="I87" s="2049"/>
      <c r="J87" s="2052"/>
      <c r="K87" s="2038"/>
      <c r="L87" s="1218"/>
      <c r="M87" s="1218"/>
      <c r="N87" s="1218"/>
      <c r="O87" s="1218"/>
      <c r="P87" s="1218"/>
      <c r="Q87" s="1218"/>
      <c r="R87" s="1218"/>
      <c r="S87" s="254"/>
      <c r="T87" s="254"/>
      <c r="U87" s="254"/>
      <c r="V87" s="254"/>
      <c r="W87" s="1219"/>
      <c r="X87" s="1181"/>
      <c r="Y87" s="1181"/>
      <c r="Z87" s="1181"/>
      <c r="AA87" s="1181"/>
      <c r="AB87" s="1181"/>
      <c r="AC87" s="1181"/>
      <c r="AD87" s="1181"/>
      <c r="AE87" s="1181"/>
      <c r="AF87" s="1181"/>
      <c r="AG87" s="1181"/>
      <c r="AH87" s="1181"/>
      <c r="AI87" s="1181"/>
      <c r="AJ87" s="1181"/>
      <c r="AK87" s="1181"/>
      <c r="AL87" s="1181"/>
      <c r="AM87" s="1181"/>
      <c r="AN87" s="1181"/>
      <c r="AO87" s="1181"/>
      <c r="AP87" s="1181"/>
      <c r="AQ87" s="1181"/>
    </row>
    <row r="88" spans="1:43" s="1846" customFormat="1" ht="17.25" hidden="1" customHeight="1">
      <c r="A88" s="243"/>
      <c r="C88" s="242"/>
      <c r="D88" s="2040"/>
      <c r="E88" s="2042"/>
      <c r="F88" s="2045"/>
      <c r="G88" s="2042"/>
      <c r="H88" s="1220"/>
      <c r="I88" s="1221"/>
      <c r="J88" s="1221"/>
      <c r="K88" s="1221"/>
      <c r="L88" s="1221"/>
      <c r="M88" s="1221"/>
      <c r="N88" s="1221"/>
      <c r="O88" s="1221"/>
      <c r="P88" s="1221"/>
      <c r="Q88" s="1221"/>
      <c r="R88" s="1221"/>
      <c r="S88" s="1222"/>
      <c r="T88" s="1222"/>
      <c r="U88" s="1222"/>
      <c r="V88" s="1222"/>
      <c r="W88" s="1223"/>
      <c r="X88" s="1181"/>
      <c r="Y88" s="1181"/>
      <c r="Z88" s="1181"/>
      <c r="AA88" s="1181"/>
      <c r="AB88" s="1181"/>
      <c r="AC88" s="1181"/>
      <c r="AD88" s="1181"/>
      <c r="AE88" s="1181"/>
      <c r="AF88" s="1181"/>
      <c r="AG88" s="1181"/>
      <c r="AH88" s="1181"/>
      <c r="AI88" s="1181"/>
      <c r="AJ88" s="1181"/>
      <c r="AK88" s="1181"/>
      <c r="AL88" s="1181"/>
      <c r="AM88" s="1181"/>
      <c r="AN88" s="1181"/>
      <c r="AO88" s="1181"/>
      <c r="AP88" s="1181"/>
      <c r="AQ88" s="1181"/>
    </row>
    <row r="89" spans="1:43" s="1848" customFormat="1" ht="11.25" hidden="1" customHeight="1">
      <c r="A89" s="193"/>
      <c r="B89" s="193"/>
      <c r="Y89" s="1181"/>
      <c r="Z89" s="1181"/>
      <c r="AA89" s="1181"/>
      <c r="AB89" s="1181"/>
      <c r="AC89" s="1181"/>
      <c r="AD89" s="1181"/>
      <c r="AE89" s="1181"/>
      <c r="AF89" s="1181"/>
      <c r="AG89" s="1181"/>
      <c r="AH89" s="1181"/>
      <c r="AI89" s="1181"/>
      <c r="AJ89" s="1181"/>
      <c r="AK89" s="1181"/>
      <c r="AL89" s="1181"/>
      <c r="AM89" s="1181"/>
      <c r="AN89" s="1181"/>
      <c r="AO89" s="1181"/>
      <c r="AP89" s="1181"/>
      <c r="AQ89" s="1181"/>
    </row>
    <row r="90" spans="1:43" s="1848" customFormat="1" ht="17.25" hidden="1" customHeight="1">
      <c r="A90" s="243"/>
      <c r="C90" s="130"/>
      <c r="D90" s="2039">
        <v>1</v>
      </c>
      <c r="E90" s="2041" t="s">
        <v>217</v>
      </c>
      <c r="F90" s="2043" t="s">
        <v>48</v>
      </c>
      <c r="G90" s="2041"/>
      <c r="H90" s="2046"/>
      <c r="I90" s="2048"/>
      <c r="J90" s="2050"/>
      <c r="K90" s="2037"/>
      <c r="L90" s="2037"/>
      <c r="M90" s="2037"/>
      <c r="N90" s="2053"/>
      <c r="O90" s="2037"/>
      <c r="P90" s="2037"/>
      <c r="Q90" s="2037"/>
      <c r="R90" s="2056"/>
      <c r="S90" s="2037"/>
      <c r="T90" s="1383"/>
      <c r="U90" s="1383"/>
      <c r="V90" s="1385"/>
      <c r="W90" s="1217"/>
      <c r="Y90" s="1188"/>
      <c r="Z90" s="1188"/>
      <c r="AA90" s="1188"/>
      <c r="AB90" s="1188"/>
      <c r="AC90" s="1188" t="s">
        <v>218</v>
      </c>
      <c r="AD90" s="1188" t="s">
        <v>219</v>
      </c>
      <c r="AE90" s="1188" t="s">
        <v>220</v>
      </c>
      <c r="AF90" s="1188" t="s">
        <v>221</v>
      </c>
      <c r="AG90" s="1188"/>
      <c r="AH90" s="1188" t="str">
        <f>IF($E$90=0,"",$E$90)</f>
        <v>Тариф на горячую воду (горячее водоснабжение)</v>
      </c>
      <c r="AI90" s="1188" t="str">
        <f>IF($G$90=0,"",$G$90)</f>
        <v/>
      </c>
      <c r="AJ90" s="1188" t="str">
        <f>IF($J$90=0,"",$J$90)</f>
        <v/>
      </c>
      <c r="AK90" s="1188" t="str">
        <f>IF($K$90="нет","без дифференциации",IF($N$90=0,"",$N$90))</f>
        <v/>
      </c>
      <c r="AL90" s="1188" t="str">
        <f>IF($O$90="нет","без дифференциации",IF($R$90=0,"",$R$90))</f>
        <v/>
      </c>
      <c r="AM90" s="1188" t="str">
        <f>IF($S$90="нет","без дифференциации",IF($V$90=0,"",$V$90))</f>
        <v/>
      </c>
      <c r="AN90" s="1188">
        <f>$I$90</f>
        <v>0</v>
      </c>
      <c r="AO90" s="1188" t="str">
        <f>$I$90&amp;"."&amp;$M$90</f>
        <v>.</v>
      </c>
      <c r="AP90" s="1188" t="str">
        <f>$I$90&amp;"."&amp;$M$90&amp;"."&amp;$Q$90</f>
        <v>..</v>
      </c>
      <c r="AQ90" s="1188" t="str">
        <f>$I$90&amp;"."&amp;$M$90&amp;"."&amp;$Q$90&amp;"."&amp;$U$90</f>
        <v>...</v>
      </c>
    </row>
    <row r="91" spans="1:43" s="1848" customFormat="1" ht="17.25" hidden="1" customHeight="1">
      <c r="A91" s="243"/>
      <c r="C91" s="242"/>
      <c r="D91" s="2039"/>
      <c r="E91" s="2041"/>
      <c r="F91" s="2044"/>
      <c r="G91" s="2041"/>
      <c r="H91" s="2047"/>
      <c r="I91" s="2049"/>
      <c r="J91" s="2051"/>
      <c r="K91" s="2038"/>
      <c r="L91" s="2038"/>
      <c r="M91" s="2038"/>
      <c r="N91" s="2054"/>
      <c r="O91" s="2038"/>
      <c r="P91" s="2038"/>
      <c r="Q91" s="2038"/>
      <c r="R91" s="2055"/>
      <c r="S91" s="2038"/>
      <c r="T91" s="1218"/>
      <c r="U91" s="1218"/>
      <c r="V91" s="1218"/>
      <c r="W91" s="1219"/>
      <c r="Y91" s="1181"/>
      <c r="Z91" s="1181"/>
      <c r="AA91" s="1181"/>
      <c r="AB91" s="1181"/>
      <c r="AC91" s="1181"/>
      <c r="AD91" s="1181"/>
      <c r="AE91" s="1181"/>
      <c r="AF91" s="1181"/>
      <c r="AG91" s="1181"/>
      <c r="AH91" s="1181"/>
      <c r="AI91" s="1181"/>
      <c r="AJ91" s="1181"/>
      <c r="AK91" s="1181"/>
      <c r="AL91" s="1181"/>
      <c r="AM91" s="1181"/>
      <c r="AN91" s="1181"/>
      <c r="AO91" s="1181"/>
      <c r="AP91" s="1181"/>
      <c r="AQ91" s="1181"/>
    </row>
    <row r="92" spans="1:43" s="1848" customFormat="1" ht="17.25" hidden="1" customHeight="1">
      <c r="A92" s="243"/>
      <c r="C92" s="130"/>
      <c r="D92" s="2039"/>
      <c r="E92" s="2041"/>
      <c r="F92" s="2044"/>
      <c r="G92" s="2041"/>
      <c r="H92" s="2047"/>
      <c r="I92" s="2049"/>
      <c r="J92" s="2052"/>
      <c r="K92" s="2038"/>
      <c r="L92" s="2038"/>
      <c r="M92" s="2038"/>
      <c r="N92" s="2055"/>
      <c r="O92" s="2038"/>
      <c r="P92" s="1384"/>
      <c r="Q92" s="1218"/>
      <c r="R92" s="1218"/>
      <c r="S92" s="254"/>
      <c r="T92" s="254"/>
      <c r="U92" s="254"/>
      <c r="V92" s="254"/>
      <c r="W92" s="1219"/>
      <c r="Y92" s="1188"/>
      <c r="Z92" s="1188"/>
      <c r="AA92" s="1188"/>
      <c r="AB92" s="1188"/>
      <c r="AC92" s="1188"/>
      <c r="AD92" s="1188"/>
      <c r="AE92" s="1188"/>
      <c r="AF92" s="1188"/>
      <c r="AG92" s="1188"/>
      <c r="AH92" s="1188"/>
      <c r="AI92" s="1188"/>
      <c r="AJ92" s="1188"/>
      <c r="AK92" s="1188"/>
      <c r="AL92" s="1188"/>
      <c r="AM92" s="1188"/>
      <c r="AN92" s="1188"/>
      <c r="AO92" s="1188"/>
      <c r="AP92" s="1188"/>
      <c r="AQ92" s="1188"/>
    </row>
    <row r="93" spans="1:43" s="1848" customFormat="1" ht="17.25" hidden="1" customHeight="1">
      <c r="A93" s="243"/>
      <c r="C93" s="242"/>
      <c r="D93" s="2039"/>
      <c r="E93" s="2041"/>
      <c r="F93" s="2044"/>
      <c r="G93" s="2041"/>
      <c r="H93" s="2047"/>
      <c r="I93" s="2049"/>
      <c r="J93" s="2052"/>
      <c r="K93" s="2038"/>
      <c r="L93" s="1218"/>
      <c r="M93" s="1218"/>
      <c r="N93" s="1218"/>
      <c r="O93" s="1218"/>
      <c r="P93" s="1218"/>
      <c r="Q93" s="1218"/>
      <c r="R93" s="1218"/>
      <c r="S93" s="254"/>
      <c r="T93" s="254"/>
      <c r="U93" s="254"/>
      <c r="V93" s="254"/>
      <c r="W93" s="1219"/>
      <c r="Y93" s="1181"/>
      <c r="Z93" s="1181"/>
      <c r="AA93" s="1181"/>
      <c r="AB93" s="1181"/>
      <c r="AC93" s="1181"/>
      <c r="AD93" s="1181"/>
      <c r="AE93" s="1181"/>
      <c r="AF93" s="1181"/>
      <c r="AG93" s="1181"/>
      <c r="AH93" s="1181"/>
      <c r="AI93" s="1181"/>
      <c r="AJ93" s="1181"/>
      <c r="AK93" s="1181"/>
      <c r="AL93" s="1181"/>
      <c r="AM93" s="1181"/>
      <c r="AN93" s="1181"/>
      <c r="AO93" s="1181"/>
      <c r="AP93" s="1181"/>
      <c r="AQ93" s="1181"/>
    </row>
    <row r="94" spans="1:43" s="1848" customFormat="1" ht="17.25" hidden="1" customHeight="1">
      <c r="A94" s="243"/>
      <c r="C94" s="242"/>
      <c r="D94" s="2040"/>
      <c r="E94" s="2042"/>
      <c r="F94" s="2045"/>
      <c r="G94" s="2042"/>
      <c r="H94" s="1220"/>
      <c r="I94" s="1221"/>
      <c r="J94" s="1221"/>
      <c r="K94" s="1221"/>
      <c r="L94" s="1221"/>
      <c r="M94" s="1221"/>
      <c r="N94" s="1221"/>
      <c r="O94" s="1221"/>
      <c r="P94" s="1221"/>
      <c r="Q94" s="1221"/>
      <c r="R94" s="1221"/>
      <c r="S94" s="1222"/>
      <c r="T94" s="1222"/>
      <c r="U94" s="1222"/>
      <c r="V94" s="1222"/>
      <c r="W94" s="1223"/>
      <c r="Y94" s="1181"/>
      <c r="Z94" s="1181"/>
      <c r="AA94" s="1181"/>
      <c r="AB94" s="1181"/>
      <c r="AC94" s="1181"/>
      <c r="AD94" s="1181"/>
      <c r="AE94" s="1181"/>
      <c r="AF94" s="1181"/>
      <c r="AG94" s="1181"/>
      <c r="AH94" s="1181"/>
      <c r="AI94" s="1181"/>
      <c r="AJ94" s="1181"/>
      <c r="AK94" s="1181"/>
      <c r="AL94" s="1181"/>
      <c r="AM94" s="1181"/>
      <c r="AN94" s="1181"/>
      <c r="AO94" s="1181"/>
      <c r="AP94" s="1181"/>
      <c r="AQ94" s="1181"/>
    </row>
    <row r="95" spans="1:43" s="1848" customFormat="1" ht="17.25" hidden="1" customHeight="1">
      <c r="A95" s="243"/>
      <c r="C95" s="130"/>
      <c r="D95" s="2039">
        <v>2</v>
      </c>
      <c r="E95" s="2041" t="s">
        <v>222</v>
      </c>
      <c r="F95" s="2043" t="s">
        <v>48</v>
      </c>
      <c r="G95" s="2041"/>
      <c r="H95" s="2046"/>
      <c r="I95" s="2048"/>
      <c r="J95" s="2050"/>
      <c r="K95" s="2037"/>
      <c r="L95" s="2037"/>
      <c r="M95" s="2037"/>
      <c r="N95" s="2053"/>
      <c r="O95" s="2037"/>
      <c r="P95" s="2037"/>
      <c r="Q95" s="2037"/>
      <c r="R95" s="2056"/>
      <c r="S95" s="2037"/>
      <c r="T95" s="1383"/>
      <c r="U95" s="1383"/>
      <c r="V95" s="1385"/>
      <c r="W95" s="1217"/>
      <c r="X95" s="1188"/>
      <c r="Y95" s="1188"/>
      <c r="Z95" s="1188"/>
      <c r="AA95" s="1188"/>
      <c r="AB95" s="1188"/>
      <c r="AC95" s="1188" t="s">
        <v>223</v>
      </c>
      <c r="AD95" s="1188" t="s">
        <v>224</v>
      </c>
      <c r="AE95" s="1188" t="s">
        <v>225</v>
      </c>
      <c r="AF95" s="1188" t="s">
        <v>226</v>
      </c>
      <c r="AG95" s="1188"/>
      <c r="AH95" s="1188" t="str">
        <f>IF($E$95=0,"",$E$95)</f>
        <v>Тариф на транспортировку горячей воды</v>
      </c>
      <c r="AI95" s="1188" t="str">
        <f>IF($G$95=0,"",$G$95)</f>
        <v/>
      </c>
      <c r="AJ95" s="1188" t="str">
        <f>IF($J$95=0,"",$J$95)</f>
        <v/>
      </c>
      <c r="AK95" s="1188" t="str">
        <f>IF($K$95="нет","без дифференциации",IF($N$95=0,"",$N$95))</f>
        <v/>
      </c>
      <c r="AL95" s="1188" t="str">
        <f>IF($O$95="нет","без дифференциации",IF($R$95=0,"",$R$95))</f>
        <v/>
      </c>
      <c r="AM95" s="1188" t="str">
        <f>IF($S$95="нет","без дифференциации",IF($V$95=0,"",$V$95))</f>
        <v/>
      </c>
      <c r="AN95" s="1684">
        <f>$I$95</f>
        <v>0</v>
      </c>
      <c r="AO95" s="1188" t="str">
        <f>$I$95&amp;"."&amp;$M$95</f>
        <v>.</v>
      </c>
      <c r="AP95" s="1181" t="str">
        <f>$I$95&amp;"."&amp;$M$95&amp;"."&amp;$Q$95</f>
        <v>..</v>
      </c>
      <c r="AQ95" s="1181" t="str">
        <f>$I$95&amp;"."&amp;$M$95&amp;"."&amp;$Q$95&amp;"."&amp;$U$95</f>
        <v>...</v>
      </c>
    </row>
    <row r="96" spans="1:43" s="1848" customFormat="1" ht="17.25" hidden="1" customHeight="1">
      <c r="A96" s="243"/>
      <c r="C96" s="242"/>
      <c r="D96" s="2039"/>
      <c r="E96" s="2041"/>
      <c r="F96" s="2044"/>
      <c r="G96" s="2041"/>
      <c r="H96" s="2047"/>
      <c r="I96" s="2049"/>
      <c r="J96" s="2051"/>
      <c r="K96" s="2038"/>
      <c r="L96" s="2038"/>
      <c r="M96" s="2038"/>
      <c r="N96" s="2054"/>
      <c r="O96" s="2038"/>
      <c r="P96" s="2038"/>
      <c r="Q96" s="2038"/>
      <c r="R96" s="2055"/>
      <c r="S96" s="2038"/>
      <c r="T96" s="1218"/>
      <c r="U96" s="1218"/>
      <c r="V96" s="1218"/>
      <c r="W96" s="1219"/>
      <c r="X96" s="1181"/>
      <c r="Y96" s="1181"/>
      <c r="Z96" s="1181"/>
      <c r="AA96" s="1181"/>
      <c r="AB96" s="1181"/>
      <c r="AC96" s="1181"/>
      <c r="AD96" s="1181"/>
      <c r="AE96" s="1181"/>
      <c r="AF96" s="1181"/>
      <c r="AG96" s="1181"/>
      <c r="AH96" s="1181"/>
      <c r="AI96" s="1181"/>
      <c r="AJ96" s="1181"/>
      <c r="AK96" s="1181"/>
      <c r="AL96" s="1181"/>
      <c r="AM96" s="1181"/>
      <c r="AN96" s="1181"/>
      <c r="AO96" s="1181"/>
      <c r="AP96" s="1181"/>
      <c r="AQ96" s="1181"/>
    </row>
    <row r="97" spans="1:43" s="1848" customFormat="1" ht="17.25" hidden="1" customHeight="1">
      <c r="A97" s="243"/>
      <c r="C97" s="242"/>
      <c r="D97" s="2040"/>
      <c r="E97" s="2042"/>
      <c r="F97" s="2044"/>
      <c r="G97" s="2042"/>
      <c r="H97" s="2047"/>
      <c r="I97" s="2049"/>
      <c r="J97" s="2052"/>
      <c r="K97" s="2038"/>
      <c r="L97" s="2038"/>
      <c r="M97" s="2038"/>
      <c r="N97" s="2055"/>
      <c r="O97" s="2038"/>
      <c r="P97" s="1384"/>
      <c r="Q97" s="1218"/>
      <c r="R97" s="1218"/>
      <c r="S97" s="254"/>
      <c r="T97" s="254"/>
      <c r="U97" s="254"/>
      <c r="V97" s="254"/>
      <c r="W97" s="1219"/>
      <c r="X97" s="1181"/>
      <c r="Y97" s="1181"/>
      <c r="Z97" s="1181"/>
      <c r="AA97" s="1181"/>
      <c r="AB97" s="1181"/>
      <c r="AC97" s="1181"/>
      <c r="AD97" s="1181"/>
      <c r="AE97" s="1181"/>
      <c r="AF97" s="1181"/>
      <c r="AG97" s="1181"/>
      <c r="AH97" s="1181"/>
      <c r="AI97" s="1181"/>
      <c r="AJ97" s="1181"/>
      <c r="AK97" s="1181"/>
      <c r="AL97" s="1181"/>
      <c r="AM97" s="1181"/>
      <c r="AN97" s="1181"/>
      <c r="AO97" s="1181"/>
      <c r="AP97" s="1181"/>
      <c r="AQ97" s="1181"/>
    </row>
    <row r="98" spans="1:43" s="1848" customFormat="1" ht="17.25" hidden="1" customHeight="1">
      <c r="A98" s="243"/>
      <c r="C98" s="242"/>
      <c r="D98" s="2040"/>
      <c r="E98" s="2042"/>
      <c r="F98" s="2044"/>
      <c r="G98" s="2042"/>
      <c r="H98" s="2047"/>
      <c r="I98" s="2049"/>
      <c r="J98" s="2052"/>
      <c r="K98" s="2038"/>
      <c r="L98" s="1218"/>
      <c r="M98" s="1218"/>
      <c r="N98" s="1218"/>
      <c r="O98" s="1218"/>
      <c r="P98" s="1218"/>
      <c r="Q98" s="1218"/>
      <c r="R98" s="1218"/>
      <c r="S98" s="254"/>
      <c r="T98" s="254"/>
      <c r="U98" s="254"/>
      <c r="V98" s="254"/>
      <c r="W98" s="1219"/>
      <c r="X98" s="1181"/>
      <c r="Y98" s="1181"/>
      <c r="Z98" s="1181"/>
      <c r="AA98" s="1181"/>
      <c r="AB98" s="1181"/>
      <c r="AC98" s="1181"/>
      <c r="AD98" s="1181"/>
      <c r="AE98" s="1181"/>
      <c r="AF98" s="1181"/>
      <c r="AG98" s="1181"/>
      <c r="AH98" s="1181"/>
      <c r="AI98" s="1181"/>
      <c r="AJ98" s="1181"/>
      <c r="AK98" s="1181"/>
      <c r="AL98" s="1181"/>
      <c r="AM98" s="1181"/>
      <c r="AN98" s="1181"/>
      <c r="AO98" s="1181"/>
      <c r="AP98" s="1181"/>
      <c r="AQ98" s="1181"/>
    </row>
    <row r="99" spans="1:43" s="1848" customFormat="1" ht="17.25" hidden="1" customHeight="1">
      <c r="A99" s="243"/>
      <c r="C99" s="242"/>
      <c r="D99" s="2040"/>
      <c r="E99" s="2042"/>
      <c r="F99" s="2045"/>
      <c r="G99" s="2042"/>
      <c r="H99" s="1220"/>
      <c r="I99" s="1221"/>
      <c r="J99" s="1221"/>
      <c r="K99" s="1221"/>
      <c r="L99" s="1221"/>
      <c r="M99" s="1221"/>
      <c r="N99" s="1221"/>
      <c r="O99" s="1221"/>
      <c r="P99" s="1221"/>
      <c r="Q99" s="1221"/>
      <c r="R99" s="1221"/>
      <c r="S99" s="1222"/>
      <c r="T99" s="1222"/>
      <c r="U99" s="1222"/>
      <c r="V99" s="1222"/>
      <c r="W99" s="1223"/>
      <c r="X99" s="1181"/>
      <c r="Y99" s="1181"/>
      <c r="Z99" s="1181"/>
      <c r="AA99" s="1181"/>
      <c r="AB99" s="1181"/>
      <c r="AC99" s="1181"/>
      <c r="AD99" s="1181"/>
      <c r="AE99" s="1181"/>
      <c r="AF99" s="1181"/>
      <c r="AG99" s="1181"/>
      <c r="AH99" s="1181"/>
      <c r="AI99" s="1181"/>
      <c r="AJ99" s="1181"/>
      <c r="AK99" s="1181"/>
      <c r="AL99" s="1181"/>
      <c r="AM99" s="1181"/>
      <c r="AN99" s="1181"/>
      <c r="AO99" s="1181"/>
      <c r="AP99" s="1181"/>
      <c r="AQ99" s="1181"/>
    </row>
    <row r="100" spans="1:43" s="1848" customFormat="1" ht="17.25" hidden="1" customHeight="1">
      <c r="A100" s="243"/>
      <c r="C100" s="130"/>
      <c r="D100" s="2039">
        <v>3</v>
      </c>
      <c r="E100" s="2041" t="s">
        <v>227</v>
      </c>
      <c r="F100" s="2043" t="s">
        <v>48</v>
      </c>
      <c r="G100" s="2041"/>
      <c r="H100" s="2046"/>
      <c r="I100" s="2048"/>
      <c r="J100" s="2050"/>
      <c r="K100" s="2037"/>
      <c r="L100" s="2037"/>
      <c r="M100" s="2037"/>
      <c r="N100" s="2053"/>
      <c r="O100" s="2037"/>
      <c r="P100" s="2037"/>
      <c r="Q100" s="2037"/>
      <c r="R100" s="2056"/>
      <c r="S100" s="2037"/>
      <c r="T100" s="1383"/>
      <c r="U100" s="1383"/>
      <c r="V100" s="1385"/>
      <c r="W100" s="1217"/>
      <c r="X100" s="1188"/>
      <c r="Y100" s="1188"/>
      <c r="Z100" s="1188"/>
      <c r="AA100" s="1188"/>
      <c r="AB100" s="1188"/>
      <c r="AC100" s="1188" t="s">
        <v>228</v>
      </c>
      <c r="AD100" s="1188" t="s">
        <v>229</v>
      </c>
      <c r="AE100" s="1188" t="s">
        <v>230</v>
      </c>
      <c r="AF100" s="1188" t="s">
        <v>231</v>
      </c>
      <c r="AG100" s="1188"/>
      <c r="AH100" s="1188" t="str">
        <f>IF($E$100=0,"",$E$100)</f>
        <v>Тариф на подключение (технологическое присоединение) к централизованной системе горячего водоснабжения</v>
      </c>
      <c r="AI100" s="1188" t="str">
        <f>IF($G$100=0,"",$G$100)</f>
        <v/>
      </c>
      <c r="AJ100" s="1188" t="str">
        <f>IF($J$100=0,"",$J$100)</f>
        <v/>
      </c>
      <c r="AK100" s="1188" t="str">
        <f>IF($K$100="нет","без дифференциации",IF($N$100=0,"",$N$100))</f>
        <v/>
      </c>
      <c r="AL100" s="1188" t="str">
        <f>IF($O$100="нет","без дифференциации",IF($R$100=0,"",$R$100))</f>
        <v/>
      </c>
      <c r="AM100" s="1188" t="str">
        <f>IF($S$100="нет","без дифференциации",IF($V$100=0,"",$V$100))</f>
        <v/>
      </c>
      <c r="AN100" s="1684">
        <f>$I$100</f>
        <v>0</v>
      </c>
      <c r="AO100" s="1188" t="str">
        <f>$I$100&amp;"."&amp;$M$100</f>
        <v>.</v>
      </c>
      <c r="AP100" s="1181" t="str">
        <f>$I$100&amp;"."&amp;$M$100&amp;"."&amp;$Q$100</f>
        <v>..</v>
      </c>
      <c r="AQ100" s="1181" t="str">
        <f>$I$100&amp;"."&amp;$M$100&amp;"."&amp;$Q$100&amp;"."&amp;$U$100</f>
        <v>...</v>
      </c>
    </row>
    <row r="101" spans="1:43" s="1848" customFormat="1" ht="17.25" hidden="1" customHeight="1">
      <c r="A101" s="243"/>
      <c r="C101" s="242"/>
      <c r="D101" s="2039"/>
      <c r="E101" s="2041"/>
      <c r="F101" s="2044"/>
      <c r="G101" s="2041"/>
      <c r="H101" s="2047"/>
      <c r="I101" s="2049"/>
      <c r="J101" s="2051"/>
      <c r="K101" s="2038"/>
      <c r="L101" s="2038"/>
      <c r="M101" s="2038"/>
      <c r="N101" s="2054"/>
      <c r="O101" s="2038"/>
      <c r="P101" s="2038"/>
      <c r="Q101" s="2038"/>
      <c r="R101" s="2055"/>
      <c r="S101" s="2038"/>
      <c r="T101" s="1218"/>
      <c r="U101" s="1218"/>
      <c r="V101" s="1218"/>
      <c r="W101" s="1219"/>
      <c r="X101" s="1181"/>
      <c r="Y101" s="1181"/>
      <c r="Z101" s="1181"/>
      <c r="AA101" s="1181"/>
      <c r="AB101" s="1181"/>
      <c r="AC101" s="1181"/>
      <c r="AD101" s="1181"/>
      <c r="AE101" s="1181"/>
      <c r="AF101" s="1181"/>
      <c r="AG101" s="1181"/>
      <c r="AH101" s="1181"/>
      <c r="AI101" s="1181"/>
      <c r="AJ101" s="1181"/>
      <c r="AK101" s="1181"/>
      <c r="AL101" s="1181"/>
      <c r="AM101" s="1181"/>
      <c r="AN101" s="1181"/>
      <c r="AO101" s="1181"/>
      <c r="AP101" s="1181"/>
      <c r="AQ101" s="1181"/>
    </row>
    <row r="102" spans="1:43" s="1848" customFormat="1" ht="17.25" hidden="1" customHeight="1">
      <c r="A102" s="243"/>
      <c r="C102" s="242"/>
      <c r="D102" s="2040"/>
      <c r="E102" s="2042"/>
      <c r="F102" s="2044"/>
      <c r="G102" s="2042"/>
      <c r="H102" s="2047"/>
      <c r="I102" s="2049"/>
      <c r="J102" s="2052"/>
      <c r="K102" s="2038"/>
      <c r="L102" s="2038"/>
      <c r="M102" s="2038"/>
      <c r="N102" s="2055"/>
      <c r="O102" s="2038"/>
      <c r="P102" s="1384"/>
      <c r="Q102" s="1218"/>
      <c r="R102" s="1218"/>
      <c r="S102" s="254"/>
      <c r="T102" s="254"/>
      <c r="U102" s="254"/>
      <c r="V102" s="254"/>
      <c r="W102" s="1219"/>
      <c r="X102" s="1181"/>
      <c r="Y102" s="1181"/>
      <c r="Z102" s="1181"/>
      <c r="AA102" s="1181"/>
      <c r="AB102" s="1181"/>
      <c r="AC102" s="1181"/>
      <c r="AD102" s="1181"/>
      <c r="AE102" s="1181"/>
      <c r="AF102" s="1181"/>
      <c r="AG102" s="1181"/>
      <c r="AH102" s="1181"/>
      <c r="AI102" s="1181"/>
      <c r="AJ102" s="1181"/>
      <c r="AK102" s="1181"/>
      <c r="AL102" s="1181"/>
      <c r="AM102" s="1181"/>
      <c r="AN102" s="1181"/>
      <c r="AO102" s="1181"/>
      <c r="AP102" s="1181"/>
      <c r="AQ102" s="1181"/>
    </row>
    <row r="103" spans="1:43" s="1848" customFormat="1" ht="17.25" hidden="1" customHeight="1">
      <c r="A103" s="243"/>
      <c r="C103" s="242"/>
      <c r="D103" s="2040"/>
      <c r="E103" s="2042"/>
      <c r="F103" s="2044"/>
      <c r="G103" s="2042"/>
      <c r="H103" s="2047"/>
      <c r="I103" s="2049"/>
      <c r="J103" s="2052"/>
      <c r="K103" s="2038"/>
      <c r="L103" s="1218"/>
      <c r="M103" s="1218"/>
      <c r="N103" s="1218"/>
      <c r="O103" s="1218"/>
      <c r="P103" s="1218"/>
      <c r="Q103" s="1218"/>
      <c r="R103" s="1218"/>
      <c r="S103" s="254"/>
      <c r="T103" s="254"/>
      <c r="U103" s="254"/>
      <c r="V103" s="254"/>
      <c r="W103" s="1219"/>
      <c r="X103" s="1181"/>
      <c r="Y103" s="1181"/>
      <c r="Z103" s="1181"/>
      <c r="AA103" s="1181"/>
      <c r="AB103" s="1181"/>
      <c r="AC103" s="1181"/>
      <c r="AD103" s="1181"/>
      <c r="AE103" s="1181"/>
      <c r="AF103" s="1181"/>
      <c r="AG103" s="1181"/>
      <c r="AH103" s="1181"/>
      <c r="AI103" s="1181"/>
      <c r="AJ103" s="1181"/>
      <c r="AK103" s="1181"/>
      <c r="AL103" s="1181"/>
      <c r="AM103" s="1181"/>
      <c r="AN103" s="1181"/>
      <c r="AO103" s="1181"/>
      <c r="AP103" s="1181"/>
      <c r="AQ103" s="1181"/>
    </row>
    <row r="104" spans="1:43" s="1848" customFormat="1" ht="17.25" hidden="1" customHeight="1">
      <c r="A104" s="243"/>
      <c r="C104" s="242"/>
      <c r="D104" s="2040"/>
      <c r="E104" s="2042"/>
      <c r="F104" s="2045"/>
      <c r="G104" s="2042"/>
      <c r="H104" s="1220"/>
      <c r="I104" s="1221"/>
      <c r="J104" s="1221"/>
      <c r="K104" s="1221"/>
      <c r="L104" s="1221"/>
      <c r="M104" s="1221"/>
      <c r="N104" s="1221"/>
      <c r="O104" s="1221"/>
      <c r="P104" s="1221"/>
      <c r="Q104" s="1221"/>
      <c r="R104" s="1221"/>
      <c r="S104" s="1222"/>
      <c r="T104" s="1222"/>
      <c r="U104" s="1222"/>
      <c r="V104" s="1222"/>
      <c r="W104" s="1223"/>
      <c r="X104" s="1181"/>
      <c r="Y104" s="1181"/>
      <c r="Z104" s="1181"/>
      <c r="AA104" s="1181"/>
      <c r="AB104" s="1181"/>
      <c r="AC104" s="1181"/>
      <c r="AD104" s="1181"/>
      <c r="AE104" s="1181"/>
      <c r="AF104" s="1181"/>
      <c r="AG104" s="1181"/>
      <c r="AH104" s="1181"/>
      <c r="AI104" s="1181"/>
      <c r="AJ104" s="1181"/>
      <c r="AK104" s="1181"/>
      <c r="AL104" s="1181"/>
      <c r="AM104" s="1181"/>
      <c r="AN104" s="1181"/>
      <c r="AO104" s="1181"/>
      <c r="AP104" s="1181"/>
      <c r="AQ104" s="1181"/>
    </row>
    <row r="105" spans="1:43" s="1848" customFormat="1" ht="11.25" hidden="1" customHeight="1">
      <c r="A105" s="193"/>
      <c r="B105" s="193"/>
      <c r="Y105" s="1181"/>
      <c r="Z105" s="1181"/>
      <c r="AA105" s="1181"/>
      <c r="AB105" s="1181"/>
      <c r="AC105" s="1181"/>
      <c r="AD105" s="1181"/>
      <c r="AE105" s="1181"/>
      <c r="AF105" s="1181"/>
      <c r="AG105" s="1181"/>
      <c r="AH105" s="1181"/>
      <c r="AI105" s="1181"/>
      <c r="AJ105" s="1181"/>
      <c r="AK105" s="1181"/>
      <c r="AL105" s="1181"/>
      <c r="AM105" s="1181"/>
      <c r="AN105" s="1181"/>
      <c r="AO105" s="1181"/>
      <c r="AP105" s="1181"/>
      <c r="AQ105" s="1181"/>
    </row>
    <row r="106" spans="1:43" s="1848" customFormat="1" ht="17.25" hidden="1" customHeight="1">
      <c r="A106" s="243"/>
      <c r="C106" s="130"/>
      <c r="D106" s="2039">
        <v>1</v>
      </c>
      <c r="E106" s="2041" t="s">
        <v>232</v>
      </c>
      <c r="F106" s="2043" t="s">
        <v>48</v>
      </c>
      <c r="G106" s="2041"/>
      <c r="H106" s="2046"/>
      <c r="I106" s="2048"/>
      <c r="J106" s="2050"/>
      <c r="K106" s="2037"/>
      <c r="L106" s="2037"/>
      <c r="M106" s="2037"/>
      <c r="N106" s="2053"/>
      <c r="O106" s="2037"/>
      <c r="P106" s="2037"/>
      <c r="Q106" s="2037"/>
      <c r="R106" s="2056"/>
      <c r="S106" s="2037"/>
      <c r="T106" s="1383"/>
      <c r="U106" s="1383"/>
      <c r="V106" s="1385"/>
      <c r="W106" s="1217"/>
      <c r="Y106" s="1188"/>
      <c r="Z106" s="1188"/>
      <c r="AA106" s="1188"/>
      <c r="AB106" s="1188"/>
      <c r="AC106" s="1188" t="s">
        <v>233</v>
      </c>
      <c r="AD106" s="1188" t="s">
        <v>234</v>
      </c>
      <c r="AE106" s="1188" t="s">
        <v>235</v>
      </c>
      <c r="AF106" s="1188" t="s">
        <v>236</v>
      </c>
      <c r="AG106" s="1188"/>
      <c r="AH106" s="1188" t="str">
        <f>IF($E$106=0,"",$E$106)</f>
        <v>Тариф на водоотведение</v>
      </c>
      <c r="AI106" s="1188" t="str">
        <f>IF($G$106=0,"",$G$106)</f>
        <v/>
      </c>
      <c r="AJ106" s="1188" t="str">
        <f>IF($J$106=0,"",$J$106)</f>
        <v/>
      </c>
      <c r="AK106" s="1188" t="str">
        <f>IF($K$106="нет","без дифференциации",IF($N$106=0,"",$N$106))</f>
        <v/>
      </c>
      <c r="AL106" s="1188" t="str">
        <f>IF($O$106="нет","без дифференциации",IF($R$106=0,"",$R$106))</f>
        <v/>
      </c>
      <c r="AM106" s="1188" t="str">
        <f>IF($S$106="нет","без дифференциации",IF($V$106=0,"",$V$106))</f>
        <v/>
      </c>
      <c r="AN106" s="1188">
        <f>$I$106</f>
        <v>0</v>
      </c>
      <c r="AO106" s="1188" t="str">
        <f>$I$106&amp;"."&amp;$M$106</f>
        <v>.</v>
      </c>
      <c r="AP106" s="1188" t="str">
        <f>$I$106&amp;"."&amp;$M$106&amp;"."&amp;$Q$106</f>
        <v>..</v>
      </c>
      <c r="AQ106" s="1188" t="str">
        <f>$I$106&amp;"."&amp;$M$106&amp;"."&amp;$Q$106&amp;"."&amp;$U$106</f>
        <v>...</v>
      </c>
    </row>
    <row r="107" spans="1:43" s="1848" customFormat="1" ht="17.25" hidden="1" customHeight="1">
      <c r="A107" s="243"/>
      <c r="C107" s="242"/>
      <c r="D107" s="2039"/>
      <c r="E107" s="2041"/>
      <c r="F107" s="2044"/>
      <c r="G107" s="2041"/>
      <c r="H107" s="2047"/>
      <c r="I107" s="2049"/>
      <c r="J107" s="2051"/>
      <c r="K107" s="2038"/>
      <c r="L107" s="2038"/>
      <c r="M107" s="2038"/>
      <c r="N107" s="2054"/>
      <c r="O107" s="2038"/>
      <c r="P107" s="2038"/>
      <c r="Q107" s="2038"/>
      <c r="R107" s="2055"/>
      <c r="S107" s="2038"/>
      <c r="T107" s="1218"/>
      <c r="U107" s="1218"/>
      <c r="V107" s="1218"/>
      <c r="W107" s="1219"/>
      <c r="Y107" s="1181"/>
      <c r="Z107" s="1181"/>
      <c r="AA107" s="1181"/>
      <c r="AB107" s="1181"/>
      <c r="AC107" s="1181"/>
      <c r="AD107" s="1181"/>
      <c r="AE107" s="1181"/>
      <c r="AF107" s="1181"/>
      <c r="AG107" s="1181"/>
      <c r="AH107" s="1181"/>
      <c r="AI107" s="1181"/>
      <c r="AJ107" s="1181"/>
      <c r="AK107" s="1181"/>
      <c r="AL107" s="1181"/>
      <c r="AM107" s="1181"/>
      <c r="AN107" s="1181"/>
      <c r="AO107" s="1181"/>
      <c r="AP107" s="1181"/>
      <c r="AQ107" s="1181"/>
    </row>
    <row r="108" spans="1:43" s="1848" customFormat="1" ht="17.25" hidden="1" customHeight="1">
      <c r="A108" s="243"/>
      <c r="C108" s="130"/>
      <c r="D108" s="2039"/>
      <c r="E108" s="2041"/>
      <c r="F108" s="2044"/>
      <c r="G108" s="2041"/>
      <c r="H108" s="2047"/>
      <c r="I108" s="2049"/>
      <c r="J108" s="2052"/>
      <c r="K108" s="2038"/>
      <c r="L108" s="2038"/>
      <c r="M108" s="2038"/>
      <c r="N108" s="2055"/>
      <c r="O108" s="2038"/>
      <c r="P108" s="1384"/>
      <c r="Q108" s="1218"/>
      <c r="R108" s="1218"/>
      <c r="S108" s="254"/>
      <c r="T108" s="254"/>
      <c r="U108" s="254"/>
      <c r="V108" s="254"/>
      <c r="W108" s="1219"/>
      <c r="Y108" s="1188"/>
      <c r="Z108" s="1188"/>
      <c r="AA108" s="1188"/>
      <c r="AB108" s="1188"/>
      <c r="AC108" s="1188"/>
      <c r="AD108" s="1188"/>
      <c r="AE108" s="1188"/>
      <c r="AF108" s="1188"/>
      <c r="AG108" s="1188"/>
      <c r="AH108" s="1188"/>
      <c r="AI108" s="1188"/>
      <c r="AJ108" s="1188"/>
      <c r="AK108" s="1188"/>
      <c r="AL108" s="1188"/>
      <c r="AM108" s="1188"/>
      <c r="AN108" s="1188"/>
      <c r="AO108" s="1188"/>
      <c r="AP108" s="1188"/>
      <c r="AQ108" s="1188"/>
    </row>
    <row r="109" spans="1:43" s="1848" customFormat="1" ht="17.25" hidden="1" customHeight="1">
      <c r="A109" s="243"/>
      <c r="C109" s="242"/>
      <c r="D109" s="2039"/>
      <c r="E109" s="2041"/>
      <c r="F109" s="2044"/>
      <c r="G109" s="2041"/>
      <c r="H109" s="2047"/>
      <c r="I109" s="2049"/>
      <c r="J109" s="2052"/>
      <c r="K109" s="2038"/>
      <c r="L109" s="1218"/>
      <c r="M109" s="1218"/>
      <c r="N109" s="1218"/>
      <c r="O109" s="1218"/>
      <c r="P109" s="1218"/>
      <c r="Q109" s="1218"/>
      <c r="R109" s="1218"/>
      <c r="S109" s="254"/>
      <c r="T109" s="254"/>
      <c r="U109" s="254"/>
      <c r="V109" s="254"/>
      <c r="W109" s="1219"/>
      <c r="Y109" s="1181"/>
      <c r="Z109" s="1181"/>
      <c r="AA109" s="1181"/>
      <c r="AB109" s="1181"/>
      <c r="AC109" s="1181"/>
      <c r="AD109" s="1181"/>
      <c r="AE109" s="1181"/>
      <c r="AF109" s="1181"/>
      <c r="AG109" s="1181"/>
      <c r="AH109" s="1181"/>
      <c r="AI109" s="1181"/>
      <c r="AJ109" s="1181"/>
      <c r="AK109" s="1181"/>
      <c r="AL109" s="1181"/>
      <c r="AM109" s="1181"/>
      <c r="AN109" s="1181"/>
      <c r="AO109" s="1181"/>
      <c r="AP109" s="1181"/>
      <c r="AQ109" s="1181"/>
    </row>
    <row r="110" spans="1:43" s="1848" customFormat="1" ht="17.25" hidden="1" customHeight="1">
      <c r="A110" s="243"/>
      <c r="C110" s="242"/>
      <c r="D110" s="2040"/>
      <c r="E110" s="2042"/>
      <c r="F110" s="2045"/>
      <c r="G110" s="2042"/>
      <c r="H110" s="1220"/>
      <c r="I110" s="1221"/>
      <c r="J110" s="1221"/>
      <c r="K110" s="1221"/>
      <c r="L110" s="1221"/>
      <c r="M110" s="1221"/>
      <c r="N110" s="1221"/>
      <c r="O110" s="1221"/>
      <c r="P110" s="1221"/>
      <c r="Q110" s="1221"/>
      <c r="R110" s="1221"/>
      <c r="S110" s="1222"/>
      <c r="T110" s="1222"/>
      <c r="U110" s="1222"/>
      <c r="V110" s="1222"/>
      <c r="W110" s="1223"/>
      <c r="Y110" s="1181"/>
      <c r="Z110" s="1181"/>
      <c r="AA110" s="1181"/>
      <c r="AB110" s="1181"/>
      <c r="AC110" s="1181"/>
      <c r="AD110" s="1181"/>
      <c r="AE110" s="1181"/>
      <c r="AF110" s="1181"/>
      <c r="AG110" s="1181"/>
      <c r="AH110" s="1181"/>
      <c r="AI110" s="1181"/>
      <c r="AJ110" s="1181"/>
      <c r="AK110" s="1181"/>
      <c r="AL110" s="1181"/>
      <c r="AM110" s="1181"/>
      <c r="AN110" s="1181"/>
      <c r="AO110" s="1181"/>
      <c r="AP110" s="1181"/>
      <c r="AQ110" s="1181"/>
    </row>
    <row r="111" spans="1:43" s="1848" customFormat="1" ht="17.25" hidden="1" customHeight="1">
      <c r="A111" s="243"/>
      <c r="C111" s="130"/>
      <c r="D111" s="2039">
        <v>2</v>
      </c>
      <c r="E111" s="2041" t="s">
        <v>237</v>
      </c>
      <c r="F111" s="2043" t="s">
        <v>48</v>
      </c>
      <c r="G111" s="2041"/>
      <c r="H111" s="2046"/>
      <c r="I111" s="2048"/>
      <c r="J111" s="2050"/>
      <c r="K111" s="2037"/>
      <c r="L111" s="2037"/>
      <c r="M111" s="2037"/>
      <c r="N111" s="2053"/>
      <c r="O111" s="2037"/>
      <c r="P111" s="2037"/>
      <c r="Q111" s="2037"/>
      <c r="R111" s="2056"/>
      <c r="S111" s="2037"/>
      <c r="T111" s="1383"/>
      <c r="U111" s="1383"/>
      <c r="V111" s="1385"/>
      <c r="W111" s="1217"/>
      <c r="X111" s="1188"/>
      <c r="Y111" s="1188"/>
      <c r="Z111" s="1188"/>
      <c r="AA111" s="1188"/>
      <c r="AB111" s="1188"/>
      <c r="AC111" s="1188" t="s">
        <v>238</v>
      </c>
      <c r="AD111" s="1188" t="s">
        <v>239</v>
      </c>
      <c r="AE111" s="1188" t="s">
        <v>240</v>
      </c>
      <c r="AF111" s="1188" t="s">
        <v>241</v>
      </c>
      <c r="AG111" s="1188"/>
      <c r="AH111" s="1188" t="str">
        <f>IF($E$111=0,"",$E$111)</f>
        <v>Тариф на транспортировку сточных вод</v>
      </c>
      <c r="AI111" s="1188" t="str">
        <f>IF($G$111=0,"",$G$111)</f>
        <v/>
      </c>
      <c r="AJ111" s="1188" t="str">
        <f>IF($J$111=0,"",$J$111)</f>
        <v/>
      </c>
      <c r="AK111" s="1188" t="str">
        <f>IF($K$111="нет","без дифференциации",IF($N$111=0,"",$N$111))</f>
        <v/>
      </c>
      <c r="AL111" s="1188" t="str">
        <f>IF($O$111="нет","без дифференциации",IF($R$111=0,"",$R$111))</f>
        <v/>
      </c>
      <c r="AM111" s="1188" t="str">
        <f>IF($S$111="нет","без дифференциации",IF($V$111=0,"",$V$111))</f>
        <v/>
      </c>
      <c r="AN111" s="1684">
        <f>$I$111</f>
        <v>0</v>
      </c>
      <c r="AO111" s="1188" t="str">
        <f>$I$111&amp;"."&amp;$M$111</f>
        <v>.</v>
      </c>
      <c r="AP111" s="1181" t="str">
        <f>$I$111&amp;"."&amp;$M$111&amp;"."&amp;$Q$111</f>
        <v>..</v>
      </c>
      <c r="AQ111" s="1181" t="str">
        <f>$I$111&amp;"."&amp;$M$111&amp;"."&amp;$Q$111&amp;"."&amp;$U$111</f>
        <v>...</v>
      </c>
    </row>
    <row r="112" spans="1:43" s="1848" customFormat="1" ht="17.25" hidden="1" customHeight="1">
      <c r="A112" s="243"/>
      <c r="C112" s="242"/>
      <c r="D112" s="2039"/>
      <c r="E112" s="2041"/>
      <c r="F112" s="2044"/>
      <c r="G112" s="2041"/>
      <c r="H112" s="2047"/>
      <c r="I112" s="2049"/>
      <c r="J112" s="2051"/>
      <c r="K112" s="2038"/>
      <c r="L112" s="2038"/>
      <c r="M112" s="2038"/>
      <c r="N112" s="2054"/>
      <c r="O112" s="2038"/>
      <c r="P112" s="2038"/>
      <c r="Q112" s="2038"/>
      <c r="R112" s="2055"/>
      <c r="S112" s="2038"/>
      <c r="T112" s="1218"/>
      <c r="U112" s="1218"/>
      <c r="V112" s="1218"/>
      <c r="W112" s="1219"/>
      <c r="X112" s="1181"/>
      <c r="Y112" s="1181"/>
      <c r="Z112" s="1181"/>
      <c r="AA112" s="1181"/>
      <c r="AB112" s="1181"/>
      <c r="AC112" s="1181"/>
      <c r="AD112" s="1181"/>
      <c r="AE112" s="1181"/>
      <c r="AF112" s="1181"/>
      <c r="AG112" s="1181"/>
      <c r="AH112" s="1181"/>
      <c r="AI112" s="1181"/>
      <c r="AJ112" s="1181"/>
      <c r="AK112" s="1181"/>
      <c r="AL112" s="1181"/>
      <c r="AM112" s="1181"/>
      <c r="AN112" s="1181"/>
      <c r="AO112" s="1181"/>
      <c r="AP112" s="1181"/>
      <c r="AQ112" s="1181"/>
    </row>
    <row r="113" spans="1:43" s="1848" customFormat="1" ht="17.25" hidden="1" customHeight="1">
      <c r="A113" s="243"/>
      <c r="C113" s="242"/>
      <c r="D113" s="2040"/>
      <c r="E113" s="2042"/>
      <c r="F113" s="2044"/>
      <c r="G113" s="2042"/>
      <c r="H113" s="2047"/>
      <c r="I113" s="2049"/>
      <c r="J113" s="2052"/>
      <c r="K113" s="2038"/>
      <c r="L113" s="2038"/>
      <c r="M113" s="2038"/>
      <c r="N113" s="2055"/>
      <c r="O113" s="2038"/>
      <c r="P113" s="1384"/>
      <c r="Q113" s="1218"/>
      <c r="R113" s="1218"/>
      <c r="S113" s="254"/>
      <c r="T113" s="254"/>
      <c r="U113" s="254"/>
      <c r="V113" s="254"/>
      <c r="W113" s="1219"/>
      <c r="X113" s="1181"/>
      <c r="Y113" s="1181"/>
      <c r="Z113" s="1181"/>
      <c r="AA113" s="1181"/>
      <c r="AB113" s="1181"/>
      <c r="AC113" s="1181"/>
      <c r="AD113" s="1181"/>
      <c r="AE113" s="1181"/>
      <c r="AF113" s="1181"/>
      <c r="AG113" s="1181"/>
      <c r="AH113" s="1181"/>
      <c r="AI113" s="1181"/>
      <c r="AJ113" s="1181"/>
      <c r="AK113" s="1181"/>
      <c r="AL113" s="1181"/>
      <c r="AM113" s="1181"/>
      <c r="AN113" s="1181"/>
      <c r="AO113" s="1181"/>
      <c r="AP113" s="1181"/>
      <c r="AQ113" s="1181"/>
    </row>
    <row r="114" spans="1:43" s="1848" customFormat="1" ht="17.25" hidden="1" customHeight="1">
      <c r="A114" s="243"/>
      <c r="C114" s="242"/>
      <c r="D114" s="2040"/>
      <c r="E114" s="2042"/>
      <c r="F114" s="2044"/>
      <c r="G114" s="2042"/>
      <c r="H114" s="2047"/>
      <c r="I114" s="2049"/>
      <c r="J114" s="2052"/>
      <c r="K114" s="2038"/>
      <c r="L114" s="1218"/>
      <c r="M114" s="1218"/>
      <c r="N114" s="1218"/>
      <c r="O114" s="1218"/>
      <c r="P114" s="1218"/>
      <c r="Q114" s="1218"/>
      <c r="R114" s="1218"/>
      <c r="S114" s="254"/>
      <c r="T114" s="254"/>
      <c r="U114" s="254"/>
      <c r="V114" s="254"/>
      <c r="W114" s="1219"/>
      <c r="X114" s="1181"/>
      <c r="Y114" s="1181"/>
      <c r="Z114" s="1181"/>
      <c r="AA114" s="1181"/>
      <c r="AB114" s="1181"/>
      <c r="AC114" s="1181"/>
      <c r="AD114" s="1181"/>
      <c r="AE114" s="1181"/>
      <c r="AF114" s="1181"/>
      <c r="AG114" s="1181"/>
      <c r="AH114" s="1181"/>
      <c r="AI114" s="1181"/>
      <c r="AJ114" s="1181"/>
      <c r="AK114" s="1181"/>
      <c r="AL114" s="1181"/>
      <c r="AM114" s="1181"/>
      <c r="AN114" s="1181"/>
      <c r="AO114" s="1181"/>
      <c r="AP114" s="1181"/>
      <c r="AQ114" s="1181"/>
    </row>
    <row r="115" spans="1:43" s="1848" customFormat="1" ht="17.25" hidden="1" customHeight="1">
      <c r="A115" s="243"/>
      <c r="C115" s="242"/>
      <c r="D115" s="2040"/>
      <c r="E115" s="2042"/>
      <c r="F115" s="2045"/>
      <c r="G115" s="2042"/>
      <c r="H115" s="1220"/>
      <c r="I115" s="1221"/>
      <c r="J115" s="1221"/>
      <c r="K115" s="1221"/>
      <c r="L115" s="1221"/>
      <c r="M115" s="1221"/>
      <c r="N115" s="1221"/>
      <c r="O115" s="1221"/>
      <c r="P115" s="1221"/>
      <c r="Q115" s="1221"/>
      <c r="R115" s="1221"/>
      <c r="S115" s="1222"/>
      <c r="T115" s="1222"/>
      <c r="U115" s="1222"/>
      <c r="V115" s="1222"/>
      <c r="W115" s="1223"/>
      <c r="X115" s="1181"/>
      <c r="Y115" s="1181"/>
      <c r="Z115" s="1181"/>
      <c r="AA115" s="1181"/>
      <c r="AB115" s="1181"/>
      <c r="AC115" s="1181"/>
      <c r="AD115" s="1181"/>
      <c r="AE115" s="1181"/>
      <c r="AF115" s="1181"/>
      <c r="AG115" s="1181"/>
      <c r="AH115" s="1181"/>
      <c r="AI115" s="1181"/>
      <c r="AJ115" s="1181"/>
      <c r="AK115" s="1181"/>
      <c r="AL115" s="1181"/>
      <c r="AM115" s="1181"/>
      <c r="AN115" s="1181"/>
      <c r="AO115" s="1181"/>
      <c r="AP115" s="1181"/>
      <c r="AQ115" s="1181"/>
    </row>
    <row r="116" spans="1:43" s="1848" customFormat="1" ht="17.25" hidden="1" customHeight="1">
      <c r="A116" s="243"/>
      <c r="C116" s="130"/>
      <c r="D116" s="2039">
        <v>3</v>
      </c>
      <c r="E116" s="2041" t="s">
        <v>242</v>
      </c>
      <c r="F116" s="2043" t="s">
        <v>48</v>
      </c>
      <c r="G116" s="2041"/>
      <c r="H116" s="2046"/>
      <c r="I116" s="2048"/>
      <c r="J116" s="2050"/>
      <c r="K116" s="2037"/>
      <c r="L116" s="2037"/>
      <c r="M116" s="2037"/>
      <c r="N116" s="2053"/>
      <c r="O116" s="2037"/>
      <c r="P116" s="2037"/>
      <c r="Q116" s="2037"/>
      <c r="R116" s="2056"/>
      <c r="S116" s="2037"/>
      <c r="T116" s="1383"/>
      <c r="U116" s="1383"/>
      <c r="V116" s="1385"/>
      <c r="W116" s="1217"/>
      <c r="X116" s="1188"/>
      <c r="Y116" s="1188"/>
      <c r="Z116" s="1188"/>
      <c r="AA116" s="1188"/>
      <c r="AB116" s="1188"/>
      <c r="AC116" s="1188" t="s">
        <v>243</v>
      </c>
      <c r="AD116" s="1188" t="s">
        <v>244</v>
      </c>
      <c r="AE116" s="1188" t="s">
        <v>245</v>
      </c>
      <c r="AF116" s="1188" t="s">
        <v>246</v>
      </c>
      <c r="AG116" s="1188"/>
      <c r="AH116" s="1188" t="str">
        <f>IF($E$116=0,"",$E$116)</f>
        <v>Тариф на подключение (технологическое присоединение) к централизованной системе водоотведения</v>
      </c>
      <c r="AI116" s="1188" t="str">
        <f>IF($G$116=0,"",$G$116)</f>
        <v/>
      </c>
      <c r="AJ116" s="1188" t="str">
        <f>IF($J$116=0,"",$J$116)</f>
        <v/>
      </c>
      <c r="AK116" s="1188" t="str">
        <f>IF($K$116="нет","без дифференциации",IF($N$116=0,"",$N$116))</f>
        <v/>
      </c>
      <c r="AL116" s="1188" t="str">
        <f>IF($O$116="нет","без дифференциации",IF($R$116=0,"",$R$116))</f>
        <v/>
      </c>
      <c r="AM116" s="1188" t="str">
        <f>IF($S$116="нет","без дифференциации",IF($V$116=0,"",$V$116))</f>
        <v/>
      </c>
      <c r="AN116" s="1684">
        <f>$I$116</f>
        <v>0</v>
      </c>
      <c r="AO116" s="1188" t="str">
        <f>$I$116&amp;"."&amp;$M$116</f>
        <v>.</v>
      </c>
      <c r="AP116" s="1181" t="str">
        <f>$I$116&amp;"."&amp;$M$116&amp;"."&amp;$Q$116</f>
        <v>..</v>
      </c>
      <c r="AQ116" s="1181" t="str">
        <f>$I$116&amp;"."&amp;$M$116&amp;"."&amp;$Q$116&amp;"."&amp;$U$116</f>
        <v>...</v>
      </c>
    </row>
    <row r="117" spans="1:43" s="1848" customFormat="1" ht="17.25" hidden="1" customHeight="1">
      <c r="A117" s="243"/>
      <c r="C117" s="242"/>
      <c r="D117" s="2039"/>
      <c r="E117" s="2041"/>
      <c r="F117" s="2044"/>
      <c r="G117" s="2041"/>
      <c r="H117" s="2047"/>
      <c r="I117" s="2049"/>
      <c r="J117" s="2051"/>
      <c r="K117" s="2038"/>
      <c r="L117" s="2038"/>
      <c r="M117" s="2038"/>
      <c r="N117" s="2054"/>
      <c r="O117" s="2038"/>
      <c r="P117" s="2038"/>
      <c r="Q117" s="2038"/>
      <c r="R117" s="2055"/>
      <c r="S117" s="2038"/>
      <c r="T117" s="1218"/>
      <c r="U117" s="1218"/>
      <c r="V117" s="1218"/>
      <c r="W117" s="1219"/>
      <c r="X117" s="1181"/>
      <c r="Y117" s="1181"/>
      <c r="Z117" s="1181"/>
      <c r="AA117" s="1181"/>
      <c r="AB117" s="1181"/>
      <c r="AC117" s="1181"/>
      <c r="AD117" s="1181"/>
      <c r="AE117" s="1181"/>
      <c r="AF117" s="1181"/>
      <c r="AG117" s="1181"/>
      <c r="AH117" s="1181"/>
      <c r="AI117" s="1181"/>
      <c r="AJ117" s="1181"/>
      <c r="AK117" s="1181"/>
      <c r="AL117" s="1181"/>
      <c r="AM117" s="1181"/>
      <c r="AN117" s="1181"/>
      <c r="AO117" s="1181"/>
      <c r="AP117" s="1181"/>
      <c r="AQ117" s="1181"/>
    </row>
    <row r="118" spans="1:43" s="1848" customFormat="1" ht="17.25" hidden="1" customHeight="1">
      <c r="A118" s="243"/>
      <c r="C118" s="242"/>
      <c r="D118" s="2040"/>
      <c r="E118" s="2042"/>
      <c r="F118" s="2044"/>
      <c r="G118" s="2042"/>
      <c r="H118" s="2047"/>
      <c r="I118" s="2049"/>
      <c r="J118" s="2052"/>
      <c r="K118" s="2038"/>
      <c r="L118" s="2038"/>
      <c r="M118" s="2038"/>
      <c r="N118" s="2055"/>
      <c r="O118" s="2038"/>
      <c r="P118" s="1384"/>
      <c r="Q118" s="1218"/>
      <c r="R118" s="1218"/>
      <c r="S118" s="254"/>
      <c r="T118" s="254"/>
      <c r="U118" s="254"/>
      <c r="V118" s="254"/>
      <c r="W118" s="1219"/>
      <c r="X118" s="1181"/>
      <c r="Y118" s="1181"/>
      <c r="Z118" s="1181"/>
      <c r="AA118" s="1181"/>
      <c r="AB118" s="1181"/>
      <c r="AC118" s="1181"/>
      <c r="AD118" s="1181"/>
      <c r="AE118" s="1181"/>
      <c r="AF118" s="1181"/>
      <c r="AG118" s="1181"/>
      <c r="AH118" s="1181"/>
      <c r="AI118" s="1181"/>
      <c r="AJ118" s="1181"/>
      <c r="AK118" s="1181"/>
      <c r="AL118" s="1181"/>
      <c r="AM118" s="1181"/>
      <c r="AN118" s="1181"/>
      <c r="AO118" s="1181"/>
      <c r="AP118" s="1181"/>
      <c r="AQ118" s="1181"/>
    </row>
    <row r="119" spans="1:43" s="1848" customFormat="1" ht="17.25" hidden="1" customHeight="1">
      <c r="A119" s="243"/>
      <c r="C119" s="242"/>
      <c r="D119" s="2040"/>
      <c r="E119" s="2042"/>
      <c r="F119" s="2044"/>
      <c r="G119" s="2042"/>
      <c r="H119" s="2047"/>
      <c r="I119" s="2049"/>
      <c r="J119" s="2052"/>
      <c r="K119" s="2038"/>
      <c r="L119" s="1218"/>
      <c r="M119" s="1218"/>
      <c r="N119" s="1218"/>
      <c r="O119" s="1218"/>
      <c r="P119" s="1218"/>
      <c r="Q119" s="1218"/>
      <c r="R119" s="1218"/>
      <c r="S119" s="254"/>
      <c r="T119" s="254"/>
      <c r="U119" s="254"/>
      <c r="V119" s="254"/>
      <c r="W119" s="1219"/>
      <c r="X119" s="1181"/>
      <c r="Y119" s="1181"/>
      <c r="Z119" s="1181"/>
      <c r="AA119" s="1181"/>
      <c r="AB119" s="1181"/>
      <c r="AC119" s="1181"/>
      <c r="AD119" s="1181"/>
      <c r="AE119" s="1181"/>
      <c r="AF119" s="1181"/>
      <c r="AG119" s="1181"/>
      <c r="AH119" s="1181"/>
      <c r="AI119" s="1181"/>
      <c r="AJ119" s="1181"/>
      <c r="AK119" s="1181"/>
      <c r="AL119" s="1181"/>
      <c r="AM119" s="1181"/>
      <c r="AN119" s="1181"/>
      <c r="AO119" s="1181"/>
      <c r="AP119" s="1181"/>
      <c r="AQ119" s="1181"/>
    </row>
    <row r="120" spans="1:43" s="1848" customFormat="1" ht="17.25" hidden="1" customHeight="1">
      <c r="A120" s="243"/>
      <c r="C120" s="242"/>
      <c r="D120" s="2040"/>
      <c r="E120" s="2042"/>
      <c r="F120" s="2045"/>
      <c r="G120" s="2042"/>
      <c r="H120" s="1220"/>
      <c r="I120" s="1221"/>
      <c r="J120" s="1221"/>
      <c r="K120" s="1221"/>
      <c r="L120" s="1221"/>
      <c r="M120" s="1221"/>
      <c r="N120" s="1221"/>
      <c r="O120" s="1221"/>
      <c r="P120" s="1221"/>
      <c r="Q120" s="1221"/>
      <c r="R120" s="1221"/>
      <c r="S120" s="1222"/>
      <c r="T120" s="1222"/>
      <c r="U120" s="1222"/>
      <c r="V120" s="1222"/>
      <c r="W120" s="1223"/>
      <c r="X120" s="1181"/>
      <c r="Y120" s="1181"/>
      <c r="Z120" s="1181"/>
      <c r="AA120" s="1181"/>
      <c r="AB120" s="1181"/>
      <c r="AC120" s="1181"/>
      <c r="AD120" s="1181"/>
      <c r="AE120" s="1181"/>
      <c r="AF120" s="1181"/>
      <c r="AG120" s="1181"/>
      <c r="AH120" s="1181"/>
      <c r="AI120" s="1181"/>
      <c r="AJ120" s="1181"/>
      <c r="AK120" s="1181"/>
      <c r="AL120" s="1181"/>
      <c r="AM120" s="1181"/>
      <c r="AN120" s="1181"/>
      <c r="AO120" s="1181"/>
      <c r="AP120" s="1181"/>
      <c r="AQ120" s="1181"/>
    </row>
    <row r="124" spans="1:43" ht="11.25" customHeight="1">
      <c r="E124" s="1269"/>
    </row>
    <row r="125" spans="1:43" ht="11.25" customHeight="1">
      <c r="E125" s="1269"/>
    </row>
    <row r="126" spans="1:43" ht="11.25" customHeight="1">
      <c r="E126" s="1269"/>
    </row>
    <row r="127" spans="1:43" ht="11.25" customHeight="1">
      <c r="E127" s="1269"/>
    </row>
    <row r="128" spans="1:43" ht="11.25" customHeight="1">
      <c r="E128" s="1269"/>
    </row>
    <row r="129" spans="5:5" ht="11.25" customHeight="1">
      <c r="E129" s="1269"/>
    </row>
    <row r="130" spans="5:5" ht="11.25" customHeight="1">
      <c r="E130" s="1269"/>
    </row>
  </sheetData>
  <sheetProtection formatColumns="0" formatRows="0" insertRows="0" deleteColumns="0" deleteRows="0" sort="0" autoFilter="0"/>
  <mergeCells count="331">
    <mergeCell ref="M84:M86"/>
    <mergeCell ref="N84:N86"/>
    <mergeCell ref="O84:O86"/>
    <mergeCell ref="P84:P85"/>
    <mergeCell ref="Q84:Q85"/>
    <mergeCell ref="R84:R85"/>
    <mergeCell ref="S84:S85"/>
    <mergeCell ref="D84:D88"/>
    <mergeCell ref="E84:E88"/>
    <mergeCell ref="F84:F88"/>
    <mergeCell ref="G84:G88"/>
    <mergeCell ref="H84:H87"/>
    <mergeCell ref="I84:I87"/>
    <mergeCell ref="J84:J87"/>
    <mergeCell ref="K84:K87"/>
    <mergeCell ref="L84:L86"/>
    <mergeCell ref="M79:M81"/>
    <mergeCell ref="N79:N81"/>
    <mergeCell ref="O79:O81"/>
    <mergeCell ref="P79:P80"/>
    <mergeCell ref="Q79:Q80"/>
    <mergeCell ref="R79:R80"/>
    <mergeCell ref="S79:S80"/>
    <mergeCell ref="D74:D78"/>
    <mergeCell ref="E74:E78"/>
    <mergeCell ref="M74:M76"/>
    <mergeCell ref="D79:D83"/>
    <mergeCell ref="E79:E83"/>
    <mergeCell ref="F79:F83"/>
    <mergeCell ref="G79:G83"/>
    <mergeCell ref="H79:H82"/>
    <mergeCell ref="I79:I82"/>
    <mergeCell ref="J79:J82"/>
    <mergeCell ref="K79:K82"/>
    <mergeCell ref="L79:L81"/>
    <mergeCell ref="F74:F78"/>
    <mergeCell ref="G74:G78"/>
    <mergeCell ref="H74:H77"/>
    <mergeCell ref="I74:I77"/>
    <mergeCell ref="J74:J77"/>
    <mergeCell ref="L74:L76"/>
    <mergeCell ref="Q69:Q70"/>
    <mergeCell ref="R69:R70"/>
    <mergeCell ref="S69:S70"/>
    <mergeCell ref="K69:K72"/>
    <mergeCell ref="K64:K67"/>
    <mergeCell ref="N69:N71"/>
    <mergeCell ref="O69:O71"/>
    <mergeCell ref="P69:P70"/>
    <mergeCell ref="S74:S75"/>
    <mergeCell ref="N74:N76"/>
    <mergeCell ref="O74:O76"/>
    <mergeCell ref="P74:P75"/>
    <mergeCell ref="Q74:Q75"/>
    <mergeCell ref="R74:R75"/>
    <mergeCell ref="L69:L71"/>
    <mergeCell ref="N64:N66"/>
    <mergeCell ref="O64:O66"/>
    <mergeCell ref="P64:P65"/>
    <mergeCell ref="Q64:Q65"/>
    <mergeCell ref="R64:R65"/>
    <mergeCell ref="S64:S65"/>
    <mergeCell ref="M69:M71"/>
    <mergeCell ref="W9:W10"/>
    <mergeCell ref="O9:R9"/>
    <mergeCell ref="K9:N9"/>
    <mergeCell ref="T11:U11"/>
    <mergeCell ref="S9:V9"/>
    <mergeCell ref="T10:U10"/>
    <mergeCell ref="D64:D68"/>
    <mergeCell ref="E64:E68"/>
    <mergeCell ref="D69:D73"/>
    <mergeCell ref="E69:E73"/>
    <mergeCell ref="F69:F73"/>
    <mergeCell ref="G69:G73"/>
    <mergeCell ref="H69:H72"/>
    <mergeCell ref="I69:I72"/>
    <mergeCell ref="J69:J72"/>
    <mergeCell ref="F64:F68"/>
    <mergeCell ref="G64:G68"/>
    <mergeCell ref="H64:H67"/>
    <mergeCell ref="I64:I67"/>
    <mergeCell ref="J64:J67"/>
    <mergeCell ref="K13:K16"/>
    <mergeCell ref="G18:G22"/>
    <mergeCell ref="K18:K21"/>
    <mergeCell ref="N23:N2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S18:S19"/>
    <mergeCell ref="M90:M92"/>
    <mergeCell ref="N90:N92"/>
    <mergeCell ref="O90:O92"/>
    <mergeCell ref="P90:P91"/>
    <mergeCell ref="Q90:Q91"/>
    <mergeCell ref="R90:R91"/>
    <mergeCell ref="S90:S91"/>
    <mergeCell ref="O48:O50"/>
    <mergeCell ref="E62:W62"/>
    <mergeCell ref="E54:W54"/>
    <mergeCell ref="E55:W55"/>
    <mergeCell ref="E56:W56"/>
    <mergeCell ref="E57:W57"/>
    <mergeCell ref="E58:W58"/>
    <mergeCell ref="L64:L66"/>
    <mergeCell ref="M64:M66"/>
    <mergeCell ref="E60:W60"/>
    <mergeCell ref="E61:W61"/>
    <mergeCell ref="K74:K77"/>
    <mergeCell ref="E38:E42"/>
    <mergeCell ref="F38:F42"/>
    <mergeCell ref="H38:H41"/>
    <mergeCell ref="G38:G42"/>
    <mergeCell ref="R13:R14"/>
    <mergeCell ref="S13:S14"/>
    <mergeCell ref="M43:M45"/>
    <mergeCell ref="N43:N45"/>
    <mergeCell ref="O43:O45"/>
    <mergeCell ref="N33:N35"/>
    <mergeCell ref="D90:D94"/>
    <mergeCell ref="E90:E94"/>
    <mergeCell ref="F90:F94"/>
    <mergeCell ref="G90:G94"/>
    <mergeCell ref="H90:H93"/>
    <mergeCell ref="I90:I93"/>
    <mergeCell ref="J90:J93"/>
    <mergeCell ref="K90:K93"/>
    <mergeCell ref="L90:L92"/>
    <mergeCell ref="P48:P49"/>
    <mergeCell ref="Q48:Q49"/>
    <mergeCell ref="R48:R49"/>
    <mergeCell ref="S48:S49"/>
    <mergeCell ref="P43:P44"/>
    <mergeCell ref="Q43:Q44"/>
    <mergeCell ref="R43:R44"/>
    <mergeCell ref="S43:S44"/>
    <mergeCell ref="S23:S24"/>
    <mergeCell ref="P100:P101"/>
    <mergeCell ref="Q100:Q101"/>
    <mergeCell ref="R100:R101"/>
    <mergeCell ref="S100:S101"/>
    <mergeCell ref="D95:D99"/>
    <mergeCell ref="E95:E99"/>
    <mergeCell ref="F95:F99"/>
    <mergeCell ref="G95:G99"/>
    <mergeCell ref="H95:H98"/>
    <mergeCell ref="I95:I98"/>
    <mergeCell ref="J95:J98"/>
    <mergeCell ref="K95:K98"/>
    <mergeCell ref="L95:L97"/>
    <mergeCell ref="S106:S107"/>
    <mergeCell ref="D106:D110"/>
    <mergeCell ref="E106:E110"/>
    <mergeCell ref="F106:F110"/>
    <mergeCell ref="G106:G110"/>
    <mergeCell ref="M95:M97"/>
    <mergeCell ref="N95:N97"/>
    <mergeCell ref="O95:O97"/>
    <mergeCell ref="P95:P96"/>
    <mergeCell ref="Q95:Q96"/>
    <mergeCell ref="R95:R96"/>
    <mergeCell ref="S95:S96"/>
    <mergeCell ref="D100:D104"/>
    <mergeCell ref="E100:E104"/>
    <mergeCell ref="F100:F104"/>
    <mergeCell ref="G100:G104"/>
    <mergeCell ref="H100:H103"/>
    <mergeCell ref="I100:I103"/>
    <mergeCell ref="J100:J103"/>
    <mergeCell ref="K100:K103"/>
    <mergeCell ref="L100:L102"/>
    <mergeCell ref="M100:M102"/>
    <mergeCell ref="N100:N102"/>
    <mergeCell ref="O100:O102"/>
    <mergeCell ref="O106:O108"/>
    <mergeCell ref="M111:M113"/>
    <mergeCell ref="N111:N113"/>
    <mergeCell ref="O111:O113"/>
    <mergeCell ref="P106:P107"/>
    <mergeCell ref="Q106:Q107"/>
    <mergeCell ref="R106:R107"/>
    <mergeCell ref="P111:P112"/>
    <mergeCell ref="Q111:Q112"/>
    <mergeCell ref="R111:R112"/>
    <mergeCell ref="K111:K114"/>
    <mergeCell ref="L111:L113"/>
    <mergeCell ref="H106:H109"/>
    <mergeCell ref="I106:I109"/>
    <mergeCell ref="J106:J109"/>
    <mergeCell ref="K106:K109"/>
    <mergeCell ref="L106:L108"/>
    <mergeCell ref="M106:M108"/>
    <mergeCell ref="N106:N108"/>
    <mergeCell ref="S111:S112"/>
    <mergeCell ref="D116:D120"/>
    <mergeCell ref="E116:E120"/>
    <mergeCell ref="F116:F120"/>
    <mergeCell ref="G116:G120"/>
    <mergeCell ref="H116:H119"/>
    <mergeCell ref="I116:I119"/>
    <mergeCell ref="J116:J119"/>
    <mergeCell ref="K116:K119"/>
    <mergeCell ref="L116:L118"/>
    <mergeCell ref="M116:M118"/>
    <mergeCell ref="N116:N118"/>
    <mergeCell ref="O116:O118"/>
    <mergeCell ref="P116:P117"/>
    <mergeCell ref="Q116:Q117"/>
    <mergeCell ref="R116:R117"/>
    <mergeCell ref="S116:S117"/>
    <mergeCell ref="D111:D115"/>
    <mergeCell ref="E111:E115"/>
    <mergeCell ref="F111:F115"/>
    <mergeCell ref="G111:G115"/>
    <mergeCell ref="H111:H114"/>
    <mergeCell ref="I111:I114"/>
    <mergeCell ref="J111:J114"/>
  </mergeCells>
  <dataValidations count="4">
    <dataValidation allowBlank="1" showInputMessage="1" showErrorMessage="1" prompt="Выберите виды деятельности, выполнив двойной щелчок левой кнопки мыши по ячейке." sqref="G13:G52 G64:G88 G90:G104 G106:G12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64:N66 N79:N81 N84:N86 N69:N71 N74:N76 N48:N50 N90:N92 N95:N97 N100:N102 N111:N113 N106:N108 N116:N118">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64:J65 R64:R65 V64:W64 J69:J70 R69:R70 V69:W69 J79:J80 R79:R80 V79:W79 J74:J75 R74:R75 V74:W74 J84:J85 R84:R85 V84:W84 J48:J49 R48:R49 V48:W48 J90:J91 R90:R91 V90:W90 J95:J96 R95:R96 V95:W95 J100:J101 R100:R101 V100:W100 J111:J112 R111:R112 V111:W111 J106:J107 R106:R107 V106:W106 J116:J117 R116:R117 V116:W116">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F13:F52 O13:O14 S13:S14 K28:K29 O28:O29 S28:S29 K64:K65 O64:O65 S64:S65 K69:K70 O69:O70 S69:S70 K79:K80 O79:O80 S79:S80 K74:K75 O74:O75 K84:K85 O84:O85 S48:S49 S74:S75 S84:S85 K48:K49 O48:O49 F64:F88 O90:O91 S90:S91 O95:O96 S95:S96 S100:S101 K90:K91 K95:K96 K100:K101 O100:O101 F90:F104 K111:K112 O111:O112 K106:K107 O106:O107 S111:S112 F106:F120 S106:S107 K116:K117 O116:O117 S116:S1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L49"/>
  <sheetViews>
    <sheetView showGridLines="0" topLeftCell="C3" zoomScale="90" workbookViewId="0"/>
  </sheetViews>
  <sheetFormatPr defaultColWidth="9.140625" defaultRowHeight="11.25" customHeight="1"/>
  <cols>
    <col min="1" max="2" width="9.140625" style="1833" hidden="1"/>
    <col min="3" max="4" width="3.7109375" style="1833" customWidth="1"/>
    <col min="5" max="6" width="16" style="1833" customWidth="1"/>
    <col min="7" max="7" width="11.5703125" style="1833" customWidth="1"/>
    <col min="8" max="9" width="3.7109375" style="1833" customWidth="1"/>
    <col min="10" max="10" width="13.140625" style="1833" customWidth="1"/>
    <col min="11" max="11" width="0.28515625" style="1833" customWidth="1"/>
    <col min="12" max="13" width="10.7109375" style="1833" customWidth="1"/>
    <col min="14" max="15" width="3.7109375" style="1833" customWidth="1"/>
    <col min="16" max="16" width="19.7109375" style="1833" customWidth="1"/>
    <col min="17" max="17" width="0.28515625" style="1833" customWidth="1"/>
    <col min="18" max="19" width="10.7109375" style="1833" customWidth="1"/>
    <col min="20" max="21" width="3.7109375" style="1833" customWidth="1"/>
    <col min="22" max="22" width="25.7109375" style="1833" customWidth="1"/>
    <col min="23" max="23" width="0.28515625" style="1833" customWidth="1"/>
    <col min="24" max="25" width="10.7109375" style="1833" customWidth="1"/>
    <col min="26" max="27" width="3.7109375" style="1833" customWidth="1"/>
    <col min="28" max="28" width="16.42578125" style="1833" customWidth="1"/>
    <col min="29" max="29" width="0.28515625" style="1833" customWidth="1"/>
    <col min="30" max="31" width="10.7109375" style="1833" customWidth="1"/>
    <col min="32" max="33" width="3.7109375" style="1833" customWidth="1"/>
    <col min="34" max="34" width="8.7109375" style="1833" customWidth="1"/>
    <col min="35" max="35" width="21.7109375" style="1833" customWidth="1"/>
    <col min="36" max="36" width="9.140625" style="1822"/>
    <col min="37" max="37" width="9.140625" style="1854"/>
    <col min="38" max="64" width="9.140625" style="1822"/>
  </cols>
  <sheetData>
    <row r="1" spans="1:64" s="1823" customFormat="1" ht="11.25" hidden="1" customHeight="1">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row>
    <row r="2" spans="1:64" s="1852" customFormat="1" ht="11.25" hidden="1" customHeight="1">
      <c r="L2" s="1473" t="s">
        <v>247</v>
      </c>
      <c r="M2" s="1473" t="s">
        <v>248</v>
      </c>
      <c r="R2" s="1473" t="s">
        <v>249</v>
      </c>
      <c r="S2" s="1473" t="s">
        <v>248</v>
      </c>
      <c r="X2" s="1473" t="s">
        <v>247</v>
      </c>
      <c r="Y2" s="1473" t="s">
        <v>248</v>
      </c>
      <c r="AD2" s="1473" t="s">
        <v>247</v>
      </c>
      <c r="AE2" s="1473" t="s">
        <v>248</v>
      </c>
      <c r="AJ2" s="1494"/>
      <c r="AK2" s="1494"/>
      <c r="AL2" s="1494"/>
      <c r="AM2" s="1494"/>
      <c r="AN2" s="1494"/>
      <c r="AO2" s="1494"/>
      <c r="AP2" s="1494"/>
      <c r="AQ2" s="1494"/>
      <c r="AR2" s="1494"/>
      <c r="AS2" s="1494"/>
      <c r="AT2" s="1494"/>
      <c r="AU2" s="1494"/>
      <c r="AV2" s="1494"/>
      <c r="AW2" s="1494"/>
      <c r="AX2" s="1494"/>
      <c r="AY2" s="1494"/>
      <c r="AZ2" s="1494"/>
      <c r="BA2" s="1494"/>
      <c r="BB2" s="1494"/>
      <c r="BC2" s="1494"/>
      <c r="BD2" s="1494"/>
      <c r="BE2" s="1494"/>
      <c r="BF2" s="1494"/>
      <c r="BG2" s="1494"/>
      <c r="BH2" s="1494"/>
      <c r="BI2" s="1494"/>
      <c r="BJ2" s="1494"/>
      <c r="BK2" s="1494"/>
      <c r="BL2" s="1494"/>
    </row>
    <row r="3" spans="1:64" s="1853" customFormat="1" ht="11.25" customHeight="1">
      <c r="AJ3" s="1493"/>
      <c r="AK3" s="224"/>
      <c r="AL3" s="1493"/>
      <c r="AM3" s="1493"/>
      <c r="AN3" s="1493"/>
      <c r="AO3" s="1493"/>
      <c r="AP3" s="1493"/>
      <c r="AQ3" s="1493"/>
      <c r="AR3" s="1493"/>
      <c r="AS3" s="1493"/>
      <c r="AT3" s="1493"/>
      <c r="AU3" s="1493"/>
      <c r="AV3" s="1493"/>
      <c r="AW3" s="1493"/>
      <c r="AX3" s="1493"/>
      <c r="AY3" s="1493"/>
      <c r="AZ3" s="1493"/>
      <c r="BA3" s="1493"/>
      <c r="BB3" s="1493"/>
      <c r="BC3" s="1493"/>
      <c r="BD3" s="1493"/>
      <c r="BE3" s="1493"/>
      <c r="BF3" s="1493"/>
      <c r="BG3" s="1493"/>
      <c r="BH3" s="1493"/>
      <c r="BI3" s="1493"/>
      <c r="BJ3" s="1493"/>
      <c r="BK3" s="1493"/>
      <c r="BL3" s="1493"/>
    </row>
    <row r="4" spans="1:64" s="1820" customFormat="1" ht="33" customHeight="1">
      <c r="A4" s="1058"/>
      <c r="B4" s="1057"/>
      <c r="C4" s="1427"/>
      <c r="D4" s="2075" t="s">
        <v>250</v>
      </c>
      <c r="E4" s="2075"/>
      <c r="F4" s="2075"/>
      <c r="G4" s="2075"/>
      <c r="H4" s="2075"/>
      <c r="I4" s="2075"/>
      <c r="J4" s="2075"/>
      <c r="K4" s="618"/>
      <c r="T4" s="1474"/>
      <c r="AJ4" s="1495"/>
      <c r="AK4" s="1496"/>
      <c r="AL4" s="1495"/>
      <c r="AM4" s="1495"/>
      <c r="AN4" s="1495"/>
      <c r="AO4" s="1495"/>
      <c r="AP4" s="1495"/>
      <c r="AQ4" s="1495"/>
      <c r="AR4" s="1495"/>
      <c r="AS4" s="1495"/>
      <c r="AT4" s="1495"/>
      <c r="AU4" s="1495"/>
      <c r="AV4" s="1495"/>
      <c r="AW4" s="1495"/>
      <c r="AX4" s="1495"/>
      <c r="AY4" s="1495"/>
      <c r="AZ4" s="1495"/>
      <c r="BA4" s="1495"/>
      <c r="BB4" s="1495"/>
      <c r="BC4" s="1495"/>
      <c r="BD4" s="1495"/>
      <c r="BE4" s="1495"/>
      <c r="BF4" s="1495"/>
      <c r="BG4" s="1495"/>
      <c r="BH4" s="1495"/>
      <c r="BI4" s="1495"/>
      <c r="BJ4" s="1495"/>
      <c r="BK4" s="1495"/>
      <c r="BL4" s="1495"/>
    </row>
    <row r="5" spans="1:64" s="1857" customFormat="1" ht="14.25" customHeight="1">
      <c r="A5" s="1546"/>
      <c r="B5" s="1545"/>
      <c r="C5" s="1427"/>
      <c r="D5" s="2098" t="str">
        <f>IF(org=0,"Не определено",org)</f>
        <v>ООО "Горводоканал"</v>
      </c>
      <c r="E5" s="2098"/>
      <c r="F5" s="2098"/>
      <c r="G5" s="2098"/>
      <c r="H5" s="2098"/>
      <c r="I5" s="2098"/>
      <c r="J5" s="2098"/>
      <c r="K5" s="618"/>
      <c r="T5" s="1474"/>
      <c r="AJ5" s="1495"/>
      <c r="AK5" s="1496"/>
      <c r="AL5" s="1495"/>
      <c r="AM5" s="1495"/>
      <c r="AN5" s="1495"/>
      <c r="AO5" s="1495"/>
      <c r="AP5" s="1495"/>
      <c r="AQ5" s="1495"/>
      <c r="AR5" s="1495"/>
      <c r="AS5" s="1495"/>
      <c r="AT5" s="1495"/>
      <c r="AU5" s="1495"/>
      <c r="AV5" s="1495"/>
      <c r="AW5" s="1495"/>
      <c r="AX5" s="1495"/>
      <c r="AY5" s="1495"/>
      <c r="AZ5" s="1495"/>
      <c r="BA5" s="1495"/>
      <c r="BB5" s="1495"/>
      <c r="BC5" s="1495"/>
      <c r="BD5" s="1495"/>
      <c r="BE5" s="1495"/>
      <c r="BF5" s="1495"/>
      <c r="BG5" s="1495"/>
      <c r="BH5" s="1495"/>
      <c r="BI5" s="1495"/>
      <c r="BJ5" s="1495"/>
      <c r="BK5" s="1495"/>
      <c r="BL5" s="1495"/>
    </row>
    <row r="6" spans="1:64" s="1820" customFormat="1" ht="14.25" customHeight="1">
      <c r="A6" s="1058"/>
      <c r="B6" s="1057"/>
      <c r="C6" s="1427"/>
      <c r="D6" s="618"/>
      <c r="E6" s="618"/>
      <c r="F6" s="618"/>
      <c r="G6" s="618"/>
      <c r="H6" s="618"/>
      <c r="I6" s="618"/>
      <c r="J6" s="618"/>
      <c r="K6" s="618"/>
      <c r="T6" s="1474"/>
      <c r="AJ6" s="1495"/>
      <c r="AK6" s="1496"/>
      <c r="AL6" s="1495"/>
      <c r="AM6" s="1495"/>
      <c r="AN6" s="1495"/>
      <c r="AO6" s="1495"/>
      <c r="AP6" s="1495"/>
      <c r="AQ6" s="1495"/>
      <c r="AR6" s="1495"/>
      <c r="AS6" s="1495"/>
      <c r="AT6" s="1495"/>
      <c r="AU6" s="1495"/>
      <c r="AV6" s="1495"/>
      <c r="AW6" s="1495"/>
      <c r="AX6" s="1495"/>
      <c r="AY6" s="1495"/>
      <c r="AZ6" s="1495"/>
      <c r="BA6" s="1495"/>
      <c r="BB6" s="1495"/>
      <c r="BC6" s="1495"/>
      <c r="BD6" s="1495"/>
      <c r="BE6" s="1495"/>
      <c r="BF6" s="1495"/>
      <c r="BG6" s="1495"/>
      <c r="BH6" s="1495"/>
      <c r="BI6" s="1495"/>
      <c r="BJ6" s="1495"/>
      <c r="BK6" s="1495"/>
      <c r="BL6" s="1495"/>
    </row>
    <row r="7" spans="1:64" s="1823" customFormat="1" ht="0.75" customHeight="1">
      <c r="AJ7" s="354"/>
      <c r="AK7" s="354"/>
      <c r="AL7" s="354"/>
      <c r="AM7" s="354"/>
      <c r="AN7" s="354"/>
      <c r="AO7" s="354"/>
      <c r="AP7" s="354"/>
      <c r="AQ7" s="354"/>
      <c r="AR7" s="354"/>
      <c r="AS7" s="354"/>
      <c r="AT7" s="354"/>
      <c r="AU7" s="354"/>
      <c r="AV7" s="354"/>
      <c r="AW7" s="354"/>
      <c r="AX7" s="354"/>
      <c r="AY7" s="354"/>
      <c r="AZ7" s="354"/>
      <c r="BA7" s="354"/>
      <c r="BB7" s="354"/>
      <c r="BC7" s="354"/>
      <c r="BD7" s="354"/>
      <c r="BE7" s="354"/>
      <c r="BF7" s="354"/>
      <c r="BG7" s="354"/>
      <c r="BH7" s="354"/>
      <c r="BI7" s="354"/>
      <c r="BJ7" s="354"/>
      <c r="BK7" s="354"/>
      <c r="BL7" s="354"/>
    </row>
    <row r="8" spans="1:64" ht="31.5" customHeight="1">
      <c r="D8" s="2019" t="s">
        <v>73</v>
      </c>
      <c r="E8" s="2019" t="s">
        <v>87</v>
      </c>
      <c r="F8" s="2077" t="s">
        <v>104</v>
      </c>
      <c r="G8" s="2078"/>
      <c r="H8" s="2077" t="s">
        <v>73</v>
      </c>
      <c r="I8" s="2078"/>
      <c r="J8" s="2019" t="s">
        <v>105</v>
      </c>
      <c r="K8" s="1475"/>
      <c r="L8" s="2076" t="s">
        <v>251</v>
      </c>
      <c r="M8" s="2076"/>
      <c r="N8" s="2076"/>
      <c r="O8" s="2076"/>
      <c r="P8" s="2076"/>
      <c r="Q8" s="1476"/>
      <c r="R8" s="2001" t="s">
        <v>252</v>
      </c>
      <c r="S8" s="2006"/>
      <c r="T8" s="2006"/>
      <c r="U8" s="2006"/>
      <c r="V8" s="2006"/>
      <c r="W8" s="1476"/>
      <c r="X8" s="2019" t="s">
        <v>253</v>
      </c>
      <c r="Y8" s="2019"/>
      <c r="Z8" s="2019"/>
      <c r="AA8" s="2019"/>
      <c r="AB8" s="2019"/>
      <c r="AC8" s="1477"/>
      <c r="AD8" s="2019" t="s">
        <v>254</v>
      </c>
      <c r="AE8" s="2019"/>
      <c r="AF8" s="2019"/>
      <c r="AG8" s="2019"/>
      <c r="AH8" s="2001"/>
      <c r="AI8" s="2019" t="s">
        <v>255</v>
      </c>
      <c r="AJ8" s="1493"/>
    </row>
    <row r="9" spans="1:64" ht="22.5" customHeight="1">
      <c r="D9" s="2019"/>
      <c r="E9" s="2019"/>
      <c r="F9" s="2076" t="s">
        <v>74</v>
      </c>
      <c r="G9" s="2076" t="s">
        <v>110</v>
      </c>
      <c r="H9" s="2079"/>
      <c r="I9" s="2080"/>
      <c r="J9" s="2001"/>
      <c r="K9" s="1478"/>
      <c r="L9" s="2019" t="s">
        <v>256</v>
      </c>
      <c r="M9" s="2001"/>
      <c r="N9" s="2077" t="s">
        <v>73</v>
      </c>
      <c r="O9" s="2078"/>
      <c r="P9" s="2019" t="s">
        <v>111</v>
      </c>
      <c r="Q9" s="1475"/>
      <c r="R9" s="2019" t="s">
        <v>256</v>
      </c>
      <c r="S9" s="2001"/>
      <c r="T9" s="2077" t="s">
        <v>73</v>
      </c>
      <c r="U9" s="2078"/>
      <c r="V9" s="2019" t="s">
        <v>111</v>
      </c>
      <c r="W9" s="1475"/>
      <c r="X9" s="2019" t="s">
        <v>256</v>
      </c>
      <c r="Y9" s="2001"/>
      <c r="Z9" s="2077" t="s">
        <v>73</v>
      </c>
      <c r="AA9" s="2078"/>
      <c r="AB9" s="2019" t="s">
        <v>257</v>
      </c>
      <c r="AC9" s="1475"/>
      <c r="AD9" s="2019" t="s">
        <v>256</v>
      </c>
      <c r="AE9" s="2001"/>
      <c r="AF9" s="2077" t="s">
        <v>73</v>
      </c>
      <c r="AG9" s="2078"/>
      <c r="AH9" s="2001" t="s">
        <v>257</v>
      </c>
      <c r="AI9" s="2019"/>
      <c r="AJ9" s="1493"/>
    </row>
    <row r="10" spans="1:64" ht="22.5" customHeight="1">
      <c r="D10" s="2076"/>
      <c r="E10" s="2076"/>
      <c r="F10" s="2081"/>
      <c r="G10" s="2081"/>
      <c r="H10" s="2082"/>
      <c r="I10" s="2083"/>
      <c r="J10" s="2077"/>
      <c r="K10" s="1478"/>
      <c r="L10" s="1497" t="s">
        <v>258</v>
      </c>
      <c r="M10" s="1492" t="s">
        <v>259</v>
      </c>
      <c r="N10" s="2079"/>
      <c r="O10" s="2080"/>
      <c r="P10" s="2076"/>
      <c r="Q10" s="1475"/>
      <c r="R10" s="1497" t="s">
        <v>258</v>
      </c>
      <c r="S10" s="1492" t="s">
        <v>259</v>
      </c>
      <c r="T10" s="2079"/>
      <c r="U10" s="2080"/>
      <c r="V10" s="2076"/>
      <c r="W10" s="1475"/>
      <c r="X10" s="1497" t="s">
        <v>258</v>
      </c>
      <c r="Y10" s="1492" t="s">
        <v>259</v>
      </c>
      <c r="Z10" s="2079"/>
      <c r="AA10" s="2080"/>
      <c r="AB10" s="2076"/>
      <c r="AC10" s="1475"/>
      <c r="AD10" s="1497" t="s">
        <v>258</v>
      </c>
      <c r="AE10" s="1492" t="s">
        <v>259</v>
      </c>
      <c r="AF10" s="2079"/>
      <c r="AG10" s="2080"/>
      <c r="AH10" s="2077"/>
      <c r="AI10" s="2076"/>
      <c r="AJ10" s="1493"/>
      <c r="AK10" s="172" t="s">
        <v>260</v>
      </c>
      <c r="AL10" s="172" t="s">
        <v>112</v>
      </c>
    </row>
    <row r="11" spans="1:64" ht="14.25" customHeight="1">
      <c r="D11" s="2084" t="s">
        <v>91</v>
      </c>
      <c r="E11" s="2086" t="s">
        <v>261</v>
      </c>
      <c r="F11" s="2086" t="s">
        <v>262</v>
      </c>
      <c r="G11" s="2089" t="s">
        <v>48</v>
      </c>
      <c r="H11" s="1518"/>
      <c r="I11" s="2091"/>
      <c r="J11" s="2050"/>
      <c r="K11" s="1426"/>
      <c r="L11" s="2037"/>
      <c r="M11" s="2037"/>
      <c r="N11" s="1503"/>
      <c r="O11" s="2037"/>
      <c r="P11" s="2050"/>
      <c r="Q11" s="1504"/>
      <c r="R11" s="2037"/>
      <c r="S11" s="2037"/>
      <c r="T11" s="1505"/>
      <c r="U11" s="2037"/>
      <c r="V11" s="2050"/>
      <c r="W11" s="1506"/>
      <c r="X11" s="2037"/>
      <c r="Y11" s="2037"/>
      <c r="Z11" s="1503"/>
      <c r="AA11" s="2037"/>
      <c r="AB11" s="2050"/>
      <c r="AC11" s="1507"/>
      <c r="AD11" s="2037"/>
      <c r="AE11" s="2037"/>
      <c r="AF11" s="1425"/>
      <c r="AG11" s="1425"/>
      <c r="AH11" s="1508"/>
      <c r="AI11" s="1217"/>
      <c r="AJ11" s="1493"/>
    </row>
    <row r="12" spans="1:64" ht="14.25" customHeight="1">
      <c r="D12" s="2084"/>
      <c r="E12" s="2086"/>
      <c r="F12" s="2086"/>
      <c r="G12" s="2090"/>
      <c r="H12" s="1519"/>
      <c r="I12" s="2092"/>
      <c r="J12" s="2051"/>
      <c r="K12" s="1527"/>
      <c r="L12" s="2038"/>
      <c r="M12" s="2038"/>
      <c r="N12" s="1509"/>
      <c r="O12" s="2038"/>
      <c r="P12" s="2051"/>
      <c r="Q12" s="1510"/>
      <c r="R12" s="2038"/>
      <c r="S12" s="2038"/>
      <c r="T12" s="1511"/>
      <c r="U12" s="2038"/>
      <c r="V12" s="2051"/>
      <c r="W12" s="1512"/>
      <c r="X12" s="2038"/>
      <c r="Y12" s="2038"/>
      <c r="Z12" s="1509"/>
      <c r="AA12" s="2038"/>
      <c r="AB12" s="2051"/>
      <c r="AC12" s="1513"/>
      <c r="AD12" s="2038"/>
      <c r="AE12" s="2038"/>
      <c r="AF12" s="1514"/>
      <c r="AG12" s="1514"/>
      <c r="AH12" s="2095"/>
      <c r="AI12" s="2096"/>
      <c r="AJ12" s="1493"/>
    </row>
    <row r="13" spans="1:64" ht="14.25" customHeight="1">
      <c r="D13" s="2084"/>
      <c r="E13" s="2086"/>
      <c r="F13" s="2086"/>
      <c r="G13" s="2090"/>
      <c r="H13" s="1519"/>
      <c r="I13" s="2092"/>
      <c r="J13" s="2051"/>
      <c r="K13" s="1527"/>
      <c r="L13" s="2038"/>
      <c r="M13" s="2038"/>
      <c r="N13" s="1509"/>
      <c r="O13" s="2038"/>
      <c r="P13" s="2051"/>
      <c r="Q13" s="1510"/>
      <c r="R13" s="2038"/>
      <c r="S13" s="2038"/>
      <c r="T13" s="1511"/>
      <c r="U13" s="2038"/>
      <c r="V13" s="2051"/>
      <c r="W13" s="1512"/>
      <c r="X13" s="2038"/>
      <c r="Y13" s="2038"/>
      <c r="Z13" s="1424"/>
      <c r="AA13" s="1514"/>
      <c r="AB13" s="2095"/>
      <c r="AC13" s="2095"/>
      <c r="AD13" s="2095"/>
      <c r="AE13" s="2095"/>
      <c r="AF13" s="2095"/>
      <c r="AG13" s="2095"/>
      <c r="AH13" s="2095"/>
      <c r="AI13" s="2096"/>
      <c r="AJ13" s="1493"/>
    </row>
    <row r="14" spans="1:64" ht="14.25" customHeight="1">
      <c r="D14" s="2084"/>
      <c r="E14" s="2086"/>
      <c r="F14" s="2086"/>
      <c r="G14" s="2090"/>
      <c r="H14" s="1519"/>
      <c r="I14" s="2092"/>
      <c r="J14" s="2051"/>
      <c r="K14" s="1527"/>
      <c r="L14" s="2038"/>
      <c r="M14" s="2038"/>
      <c r="N14" s="1509"/>
      <c r="O14" s="2038"/>
      <c r="P14" s="2051"/>
      <c r="Q14" s="1510"/>
      <c r="R14" s="2038"/>
      <c r="S14" s="2038"/>
      <c r="T14" s="1515"/>
      <c r="U14" s="1516"/>
      <c r="V14" s="2095"/>
      <c r="W14" s="2095"/>
      <c r="X14" s="2095"/>
      <c r="Y14" s="2095"/>
      <c r="Z14" s="2095"/>
      <c r="AA14" s="2095"/>
      <c r="AB14" s="2095"/>
      <c r="AC14" s="2095"/>
      <c r="AD14" s="2095"/>
      <c r="AE14" s="2095"/>
      <c r="AF14" s="2095"/>
      <c r="AG14" s="2095"/>
      <c r="AH14" s="2095"/>
      <c r="AI14" s="2096"/>
      <c r="AJ14" s="1493"/>
    </row>
    <row r="15" spans="1:64" ht="11.25" customHeight="1">
      <c r="D15" s="2084"/>
      <c r="E15" s="2086"/>
      <c r="F15" s="2086"/>
      <c r="G15" s="2090"/>
      <c r="H15" s="1520"/>
      <c r="I15" s="2092"/>
      <c r="J15" s="2051"/>
      <c r="K15" s="1527"/>
      <c r="L15" s="2038"/>
      <c r="M15" s="2038"/>
      <c r="N15" s="1514"/>
      <c r="O15" s="1514"/>
      <c r="P15" s="2095"/>
      <c r="Q15" s="2095"/>
      <c r="R15" s="2095"/>
      <c r="S15" s="2095"/>
      <c r="T15" s="2095"/>
      <c r="U15" s="2095"/>
      <c r="V15" s="2095"/>
      <c r="W15" s="2095"/>
      <c r="X15" s="2095"/>
      <c r="Y15" s="2095"/>
      <c r="Z15" s="2095"/>
      <c r="AA15" s="2095"/>
      <c r="AB15" s="2095"/>
      <c r="AC15" s="2095"/>
      <c r="AD15" s="2095"/>
      <c r="AE15" s="2095"/>
      <c r="AF15" s="2095"/>
      <c r="AG15" s="2095"/>
      <c r="AH15" s="2095"/>
      <c r="AI15" s="2096"/>
      <c r="AJ15" s="1493"/>
    </row>
    <row r="16" spans="1:64" s="1853" customFormat="1" ht="11.25" customHeight="1">
      <c r="D16" s="2085"/>
      <c r="E16" s="2087"/>
      <c r="F16" s="2088"/>
      <c r="G16" s="2034"/>
      <c r="H16" s="1517"/>
      <c r="I16" s="1521"/>
      <c r="J16" s="2093"/>
      <c r="K16" s="2093"/>
      <c r="L16" s="2093"/>
      <c r="M16" s="2093"/>
      <c r="N16" s="2093"/>
      <c r="O16" s="2093"/>
      <c r="P16" s="2093"/>
      <c r="Q16" s="2093"/>
      <c r="R16" s="2093"/>
      <c r="S16" s="2093"/>
      <c r="T16" s="2093"/>
      <c r="U16" s="2093"/>
      <c r="V16" s="2093"/>
      <c r="W16" s="2093"/>
      <c r="X16" s="2093"/>
      <c r="Y16" s="2093"/>
      <c r="Z16" s="2093"/>
      <c r="AA16" s="2093"/>
      <c r="AB16" s="2093"/>
      <c r="AC16" s="2093"/>
      <c r="AD16" s="2093"/>
      <c r="AE16" s="2093"/>
      <c r="AF16" s="2093"/>
      <c r="AG16" s="2093"/>
      <c r="AH16" s="2093"/>
      <c r="AI16" s="2094"/>
      <c r="AJ16" s="1493"/>
      <c r="AK16" s="224"/>
      <c r="AL16" s="1493"/>
      <c r="AM16" s="1493"/>
      <c r="AN16" s="1493"/>
      <c r="AO16" s="1493"/>
      <c r="AP16" s="1493"/>
      <c r="AQ16" s="1493"/>
      <c r="AR16" s="1493"/>
      <c r="AS16" s="1493"/>
      <c r="AT16" s="1493"/>
      <c r="AU16" s="1493"/>
      <c r="AV16" s="1493"/>
      <c r="AW16" s="1493"/>
      <c r="AX16" s="1493"/>
      <c r="AY16" s="1493"/>
      <c r="AZ16" s="1493"/>
      <c r="BA16" s="1493"/>
      <c r="BB16" s="1493"/>
      <c r="BC16" s="1493"/>
      <c r="BD16" s="1493"/>
      <c r="BE16" s="1493"/>
      <c r="BF16" s="1493"/>
      <c r="BG16" s="1493"/>
      <c r="BH16" s="1493"/>
      <c r="BI16" s="1493"/>
      <c r="BJ16" s="1493"/>
      <c r="BK16" s="1493"/>
      <c r="BL16" s="1493"/>
    </row>
    <row r="17" spans="4:64" ht="14.25" customHeight="1">
      <c r="D17" s="2084" t="s">
        <v>92</v>
      </c>
      <c r="E17" s="2086" t="s">
        <v>261</v>
      </c>
      <c r="F17" s="2086" t="s">
        <v>263</v>
      </c>
      <c r="G17" s="2089" t="s">
        <v>48</v>
      </c>
      <c r="H17" s="1518"/>
      <c r="I17" s="2091"/>
      <c r="J17" s="2050"/>
      <c r="K17" s="1426"/>
      <c r="L17" s="2037"/>
      <c r="M17" s="2037"/>
      <c r="N17" s="1503"/>
      <c r="O17" s="2037"/>
      <c r="P17" s="2050"/>
      <c r="Q17" s="1504"/>
      <c r="R17" s="2037"/>
      <c r="S17" s="2037"/>
      <c r="T17" s="1505"/>
      <c r="U17" s="2037"/>
      <c r="V17" s="2050"/>
      <c r="W17" s="1506"/>
      <c r="X17" s="2037"/>
      <c r="Y17" s="2037"/>
      <c r="Z17" s="1503"/>
      <c r="AA17" s="2037"/>
      <c r="AB17" s="2050"/>
      <c r="AC17" s="1507"/>
      <c r="AD17" s="2037"/>
      <c r="AE17" s="2037"/>
      <c r="AF17" s="1425"/>
      <c r="AG17" s="1425"/>
      <c r="AH17" s="1508"/>
      <c r="AI17" s="1217"/>
      <c r="AJ17" s="1493"/>
    </row>
    <row r="18" spans="4:64" ht="14.25" customHeight="1">
      <c r="D18" s="2084"/>
      <c r="E18" s="2086"/>
      <c r="F18" s="2086"/>
      <c r="G18" s="2090"/>
      <c r="H18" s="1519"/>
      <c r="I18" s="2092"/>
      <c r="J18" s="2051"/>
      <c r="K18" s="1502"/>
      <c r="L18" s="2038"/>
      <c r="M18" s="2038"/>
      <c r="N18" s="1509"/>
      <c r="O18" s="2038"/>
      <c r="P18" s="2051"/>
      <c r="Q18" s="1510"/>
      <c r="R18" s="2038"/>
      <c r="S18" s="2038"/>
      <c r="T18" s="1511"/>
      <c r="U18" s="2038"/>
      <c r="V18" s="2051"/>
      <c r="W18" s="1512"/>
      <c r="X18" s="2038"/>
      <c r="Y18" s="2038"/>
      <c r="Z18" s="1509"/>
      <c r="AA18" s="2038"/>
      <c r="AB18" s="2051"/>
      <c r="AC18" s="1513"/>
      <c r="AD18" s="2038"/>
      <c r="AE18" s="2038"/>
      <c r="AF18" s="1514"/>
      <c r="AG18" s="1514"/>
      <c r="AH18" s="2095"/>
      <c r="AI18" s="2096"/>
      <c r="AJ18" s="1493"/>
    </row>
    <row r="19" spans="4:64" ht="14.25" customHeight="1">
      <c r="D19" s="2084"/>
      <c r="E19" s="2086"/>
      <c r="F19" s="2086"/>
      <c r="G19" s="2090"/>
      <c r="H19" s="1519"/>
      <c r="I19" s="2092"/>
      <c r="J19" s="2051"/>
      <c r="K19" s="1502"/>
      <c r="L19" s="2038"/>
      <c r="M19" s="2038"/>
      <c r="N19" s="1509"/>
      <c r="O19" s="2038"/>
      <c r="P19" s="2051"/>
      <c r="Q19" s="1510"/>
      <c r="R19" s="2038"/>
      <c r="S19" s="2038"/>
      <c r="T19" s="1511"/>
      <c r="U19" s="2038"/>
      <c r="V19" s="2051"/>
      <c r="W19" s="1512"/>
      <c r="X19" s="2038"/>
      <c r="Y19" s="2038"/>
      <c r="Z19" s="1424"/>
      <c r="AA19" s="1514"/>
      <c r="AB19" s="2095"/>
      <c r="AC19" s="2095"/>
      <c r="AD19" s="2095"/>
      <c r="AE19" s="2095"/>
      <c r="AF19" s="2095"/>
      <c r="AG19" s="2095"/>
      <c r="AH19" s="2095"/>
      <c r="AI19" s="2096"/>
      <c r="AJ19" s="1493"/>
    </row>
    <row r="20" spans="4:64" ht="14.25" customHeight="1">
      <c r="D20" s="2084"/>
      <c r="E20" s="2086"/>
      <c r="F20" s="2086"/>
      <c r="G20" s="2090"/>
      <c r="H20" s="1519"/>
      <c r="I20" s="2092"/>
      <c r="J20" s="2051"/>
      <c r="K20" s="1502"/>
      <c r="L20" s="2038"/>
      <c r="M20" s="2038"/>
      <c r="N20" s="1509"/>
      <c r="O20" s="2038"/>
      <c r="P20" s="2051"/>
      <c r="Q20" s="1510"/>
      <c r="R20" s="2038"/>
      <c r="S20" s="2038"/>
      <c r="T20" s="1515"/>
      <c r="U20" s="1516"/>
      <c r="V20" s="2095"/>
      <c r="W20" s="2095"/>
      <c r="X20" s="2095"/>
      <c r="Y20" s="2095"/>
      <c r="Z20" s="2095"/>
      <c r="AA20" s="2095"/>
      <c r="AB20" s="2095"/>
      <c r="AC20" s="2095"/>
      <c r="AD20" s="2095"/>
      <c r="AE20" s="2095"/>
      <c r="AF20" s="2095"/>
      <c r="AG20" s="2095"/>
      <c r="AH20" s="2095"/>
      <c r="AI20" s="2096"/>
      <c r="AJ20" s="1493"/>
    </row>
    <row r="21" spans="4:64" ht="11.25" customHeight="1">
      <c r="D21" s="2084"/>
      <c r="E21" s="2086"/>
      <c r="F21" s="2086"/>
      <c r="G21" s="2090"/>
      <c r="H21" s="1520"/>
      <c r="I21" s="2092"/>
      <c r="J21" s="2051"/>
      <c r="K21" s="1502"/>
      <c r="L21" s="2038"/>
      <c r="M21" s="2038"/>
      <c r="N21" s="1514"/>
      <c r="O21" s="1514"/>
      <c r="P21" s="2095"/>
      <c r="Q21" s="2095"/>
      <c r="R21" s="2095"/>
      <c r="S21" s="2095"/>
      <c r="T21" s="2095"/>
      <c r="U21" s="2095"/>
      <c r="V21" s="2095"/>
      <c r="W21" s="2095"/>
      <c r="X21" s="2095"/>
      <c r="Y21" s="2095"/>
      <c r="Z21" s="2095"/>
      <c r="AA21" s="2095"/>
      <c r="AB21" s="2095"/>
      <c r="AC21" s="2095"/>
      <c r="AD21" s="2095"/>
      <c r="AE21" s="2095"/>
      <c r="AF21" s="2095"/>
      <c r="AG21" s="2095"/>
      <c r="AH21" s="2095"/>
      <c r="AI21" s="2096"/>
      <c r="AJ21" s="1493"/>
    </row>
    <row r="22" spans="4:64" s="1853" customFormat="1" ht="11.25" customHeight="1">
      <c r="D22" s="2085"/>
      <c r="E22" s="2087"/>
      <c r="F22" s="2088"/>
      <c r="G22" s="2034"/>
      <c r="H22" s="1517"/>
      <c r="I22" s="1521"/>
      <c r="J22" s="2093"/>
      <c r="K22" s="2093"/>
      <c r="L22" s="2093"/>
      <c r="M22" s="2093"/>
      <c r="N22" s="2093"/>
      <c r="O22" s="2093"/>
      <c r="P22" s="2093"/>
      <c r="Q22" s="2093"/>
      <c r="R22" s="2093"/>
      <c r="S22" s="2093"/>
      <c r="T22" s="2093"/>
      <c r="U22" s="2093"/>
      <c r="V22" s="2093"/>
      <c r="W22" s="2093"/>
      <c r="X22" s="2093"/>
      <c r="Y22" s="2093"/>
      <c r="Z22" s="2093"/>
      <c r="AA22" s="2093"/>
      <c r="AB22" s="2093"/>
      <c r="AC22" s="2093"/>
      <c r="AD22" s="2093"/>
      <c r="AE22" s="2093"/>
      <c r="AF22" s="2093"/>
      <c r="AG22" s="2093"/>
      <c r="AH22" s="2093"/>
      <c r="AI22" s="2094"/>
      <c r="AJ22" s="1493"/>
      <c r="AK22" s="224"/>
      <c r="AL22" s="1493"/>
      <c r="AM22" s="1493"/>
      <c r="AN22" s="1493"/>
      <c r="AO22" s="1493"/>
      <c r="AP22" s="1493"/>
      <c r="AQ22" s="1493"/>
      <c r="AR22" s="1493"/>
      <c r="AS22" s="1493"/>
      <c r="AT22" s="1493"/>
      <c r="AU22" s="1493"/>
      <c r="AV22" s="1493"/>
      <c r="AW22" s="1493"/>
      <c r="AX22" s="1493"/>
      <c r="AY22" s="1493"/>
      <c r="AZ22" s="1493"/>
      <c r="BA22" s="1493"/>
      <c r="BB22" s="1493"/>
      <c r="BC22" s="1493"/>
      <c r="BD22" s="1493"/>
      <c r="BE22" s="1493"/>
      <c r="BF22" s="1493"/>
      <c r="BG22" s="1493"/>
      <c r="BH22" s="1493"/>
      <c r="BI22" s="1493"/>
      <c r="BJ22" s="1493"/>
      <c r="BK22" s="1493"/>
      <c r="BL22" s="1493"/>
    </row>
    <row r="23" spans="4:64" ht="14.25" customHeight="1">
      <c r="D23" s="2084" t="s">
        <v>75</v>
      </c>
      <c r="E23" s="2086" t="s">
        <v>261</v>
      </c>
      <c r="F23" s="2086" t="s">
        <v>264</v>
      </c>
      <c r="G23" s="2089" t="s">
        <v>48</v>
      </c>
      <c r="H23" s="1518"/>
      <c r="I23" s="2091"/>
      <c r="J23" s="2050"/>
      <c r="K23" s="1426"/>
      <c r="L23" s="2037"/>
      <c r="M23" s="2037"/>
      <c r="N23" s="1503"/>
      <c r="O23" s="2037"/>
      <c r="P23" s="2050"/>
      <c r="Q23" s="1504"/>
      <c r="R23" s="2037"/>
      <c r="S23" s="2037"/>
      <c r="T23" s="1505"/>
      <c r="U23" s="2037"/>
      <c r="V23" s="2050"/>
      <c r="W23" s="1506"/>
      <c r="X23" s="2037"/>
      <c r="Y23" s="2037"/>
      <c r="Z23" s="1503"/>
      <c r="AA23" s="2037"/>
      <c r="AB23" s="2050"/>
      <c r="AC23" s="1507"/>
      <c r="AD23" s="2037"/>
      <c r="AE23" s="2037"/>
      <c r="AF23" s="1425"/>
      <c r="AG23" s="1425"/>
      <c r="AH23" s="1508"/>
      <c r="AI23" s="1217"/>
      <c r="AJ23" s="1493"/>
      <c r="AK23" s="224" t="s">
        <v>83</v>
      </c>
    </row>
    <row r="24" spans="4:64" ht="14.25" customHeight="1">
      <c r="D24" s="2084"/>
      <c r="E24" s="2086"/>
      <c r="F24" s="2086"/>
      <c r="G24" s="2090"/>
      <c r="H24" s="1519"/>
      <c r="I24" s="2092"/>
      <c r="J24" s="2051"/>
      <c r="K24" s="1527"/>
      <c r="L24" s="2038"/>
      <c r="M24" s="2038"/>
      <c r="N24" s="1509"/>
      <c r="O24" s="2038"/>
      <c r="P24" s="2051"/>
      <c r="Q24" s="1510"/>
      <c r="R24" s="2038"/>
      <c r="S24" s="2038"/>
      <c r="T24" s="1511"/>
      <c r="U24" s="2038"/>
      <c r="V24" s="2051"/>
      <c r="W24" s="1512"/>
      <c r="X24" s="2038"/>
      <c r="Y24" s="2038"/>
      <c r="Z24" s="1509"/>
      <c r="AA24" s="2038"/>
      <c r="AB24" s="2051"/>
      <c r="AC24" s="1513"/>
      <c r="AD24" s="2038"/>
      <c r="AE24" s="2038"/>
      <c r="AF24" s="1514"/>
      <c r="AG24" s="1514"/>
      <c r="AH24" s="2095"/>
      <c r="AI24" s="2096"/>
      <c r="AJ24" s="1493"/>
    </row>
    <row r="25" spans="4:64" ht="14.25" customHeight="1">
      <c r="D25" s="2084"/>
      <c r="E25" s="2086"/>
      <c r="F25" s="2086"/>
      <c r="G25" s="2090"/>
      <c r="H25" s="1519"/>
      <c r="I25" s="2092"/>
      <c r="J25" s="2051"/>
      <c r="K25" s="1527"/>
      <c r="L25" s="2038"/>
      <c r="M25" s="2038"/>
      <c r="N25" s="1509"/>
      <c r="O25" s="2038"/>
      <c r="P25" s="2051"/>
      <c r="Q25" s="1510"/>
      <c r="R25" s="2038"/>
      <c r="S25" s="2038"/>
      <c r="T25" s="1511"/>
      <c r="U25" s="2038"/>
      <c r="V25" s="2051"/>
      <c r="W25" s="1512"/>
      <c r="X25" s="2038"/>
      <c r="Y25" s="2038"/>
      <c r="Z25" s="1424"/>
      <c r="AA25" s="1514"/>
      <c r="AB25" s="2095"/>
      <c r="AC25" s="2095"/>
      <c r="AD25" s="2095"/>
      <c r="AE25" s="2095"/>
      <c r="AF25" s="2095"/>
      <c r="AG25" s="2095"/>
      <c r="AH25" s="2095"/>
      <c r="AI25" s="2096"/>
      <c r="AJ25" s="1493"/>
    </row>
    <row r="26" spans="4:64" ht="14.25" customHeight="1">
      <c r="D26" s="2084"/>
      <c r="E26" s="2086"/>
      <c r="F26" s="2086"/>
      <c r="G26" s="2090"/>
      <c r="H26" s="1519"/>
      <c r="I26" s="2092"/>
      <c r="J26" s="2051"/>
      <c r="K26" s="1527"/>
      <c r="L26" s="2038"/>
      <c r="M26" s="2038"/>
      <c r="N26" s="1509"/>
      <c r="O26" s="2038"/>
      <c r="P26" s="2051"/>
      <c r="Q26" s="1510"/>
      <c r="R26" s="2038"/>
      <c r="S26" s="2038"/>
      <c r="T26" s="1515"/>
      <c r="U26" s="1516"/>
      <c r="V26" s="2095"/>
      <c r="W26" s="2095"/>
      <c r="X26" s="2095"/>
      <c r="Y26" s="2095"/>
      <c r="Z26" s="2095"/>
      <c r="AA26" s="2095"/>
      <c r="AB26" s="2095"/>
      <c r="AC26" s="2095"/>
      <c r="AD26" s="2095"/>
      <c r="AE26" s="2095"/>
      <c r="AF26" s="2095"/>
      <c r="AG26" s="2095"/>
      <c r="AH26" s="2095"/>
      <c r="AI26" s="2096"/>
      <c r="AJ26" s="1493"/>
    </row>
    <row r="27" spans="4:64" ht="11.25" customHeight="1">
      <c r="D27" s="2084"/>
      <c r="E27" s="2086"/>
      <c r="F27" s="2086"/>
      <c r="G27" s="2090"/>
      <c r="H27" s="1520"/>
      <c r="I27" s="2092"/>
      <c r="J27" s="2051"/>
      <c r="K27" s="1527"/>
      <c r="L27" s="2038"/>
      <c r="M27" s="2038"/>
      <c r="N27" s="1514"/>
      <c r="O27" s="1514"/>
      <c r="P27" s="2095"/>
      <c r="Q27" s="2095"/>
      <c r="R27" s="2095"/>
      <c r="S27" s="2095"/>
      <c r="T27" s="2095"/>
      <c r="U27" s="2095"/>
      <c r="V27" s="2095"/>
      <c r="W27" s="2095"/>
      <c r="X27" s="2095"/>
      <c r="Y27" s="2095"/>
      <c r="Z27" s="2095"/>
      <c r="AA27" s="2095"/>
      <c r="AB27" s="2095"/>
      <c r="AC27" s="2095"/>
      <c r="AD27" s="2095"/>
      <c r="AE27" s="2095"/>
      <c r="AF27" s="2095"/>
      <c r="AG27" s="2095"/>
      <c r="AH27" s="2095"/>
      <c r="AI27" s="2096"/>
      <c r="AJ27" s="1493"/>
    </row>
    <row r="28" spans="4:64" s="1853" customFormat="1" ht="11.25" customHeight="1">
      <c r="D28" s="2085"/>
      <c r="E28" s="2087"/>
      <c r="F28" s="2088"/>
      <c r="G28" s="2034"/>
      <c r="H28" s="1517"/>
      <c r="I28" s="1521"/>
      <c r="J28" s="2093"/>
      <c r="K28" s="2093"/>
      <c r="L28" s="2093"/>
      <c r="M28" s="2093"/>
      <c r="N28" s="2093"/>
      <c r="O28" s="2093"/>
      <c r="P28" s="2093"/>
      <c r="Q28" s="2093"/>
      <c r="R28" s="2093"/>
      <c r="S28" s="2093"/>
      <c r="T28" s="2093"/>
      <c r="U28" s="2093"/>
      <c r="V28" s="2093"/>
      <c r="W28" s="2093"/>
      <c r="X28" s="2093"/>
      <c r="Y28" s="2093"/>
      <c r="Z28" s="2093"/>
      <c r="AA28" s="2093"/>
      <c r="AB28" s="2093"/>
      <c r="AC28" s="2093"/>
      <c r="AD28" s="2093"/>
      <c r="AE28" s="2093"/>
      <c r="AF28" s="2093"/>
      <c r="AG28" s="2093"/>
      <c r="AH28" s="2093"/>
      <c r="AI28" s="2094"/>
      <c r="AJ28" s="1493"/>
      <c r="AK28" s="224"/>
      <c r="AL28" s="1493"/>
      <c r="AM28" s="1493"/>
      <c r="AN28" s="1493"/>
      <c r="AO28" s="1493"/>
      <c r="AP28" s="1493"/>
      <c r="AQ28" s="1493"/>
      <c r="AR28" s="1493"/>
      <c r="AS28" s="1493"/>
      <c r="AT28" s="1493"/>
      <c r="AU28" s="1493"/>
      <c r="AV28" s="1493"/>
      <c r="AW28" s="1493"/>
      <c r="AX28" s="1493"/>
      <c r="AY28" s="1493"/>
      <c r="AZ28" s="1493"/>
      <c r="BA28" s="1493"/>
      <c r="BB28" s="1493"/>
      <c r="BC28" s="1493"/>
      <c r="BD28" s="1493"/>
      <c r="BE28" s="1493"/>
      <c r="BF28" s="1493"/>
      <c r="BG28" s="1493"/>
      <c r="BH28" s="1493"/>
      <c r="BI28" s="1493"/>
      <c r="BJ28" s="1493"/>
      <c r="BK28" s="1493"/>
      <c r="BL28" s="1493"/>
    </row>
    <row r="29" spans="4:64" ht="14.25" customHeight="1">
      <c r="D29" s="2084" t="s">
        <v>76</v>
      </c>
      <c r="E29" s="2086" t="s">
        <v>261</v>
      </c>
      <c r="F29" s="2086" t="s">
        <v>265</v>
      </c>
      <c r="G29" s="2089" t="s">
        <v>48</v>
      </c>
      <c r="H29" s="1518"/>
      <c r="I29" s="2091"/>
      <c r="J29" s="2050"/>
      <c r="K29" s="1426"/>
      <c r="L29" s="2037"/>
      <c r="M29" s="2037"/>
      <c r="N29" s="1503"/>
      <c r="O29" s="2037"/>
      <c r="P29" s="2050"/>
      <c r="Q29" s="1504"/>
      <c r="R29" s="2037"/>
      <c r="S29" s="2037"/>
      <c r="T29" s="1505"/>
      <c r="U29" s="2037"/>
      <c r="V29" s="2050"/>
      <c r="W29" s="1506"/>
      <c r="X29" s="2037"/>
      <c r="Y29" s="2037"/>
      <c r="Z29" s="1503"/>
      <c r="AA29" s="2037"/>
      <c r="AB29" s="2050"/>
      <c r="AC29" s="1507"/>
      <c r="AD29" s="2037"/>
      <c r="AE29" s="2037"/>
      <c r="AF29" s="1425"/>
      <c r="AG29" s="1425"/>
      <c r="AH29" s="1508"/>
      <c r="AI29" s="1217"/>
      <c r="AJ29" s="1493"/>
    </row>
    <row r="30" spans="4:64" ht="14.25" customHeight="1">
      <c r="D30" s="2084"/>
      <c r="E30" s="2086"/>
      <c r="F30" s="2086"/>
      <c r="G30" s="2090"/>
      <c r="H30" s="1519"/>
      <c r="I30" s="2092"/>
      <c r="J30" s="2051"/>
      <c r="K30" s="1502"/>
      <c r="L30" s="2038"/>
      <c r="M30" s="2038"/>
      <c r="N30" s="1509"/>
      <c r="O30" s="2038"/>
      <c r="P30" s="2051"/>
      <c r="Q30" s="1510"/>
      <c r="R30" s="2038"/>
      <c r="S30" s="2038"/>
      <c r="T30" s="1511"/>
      <c r="U30" s="2038"/>
      <c r="V30" s="2051"/>
      <c r="W30" s="1512"/>
      <c r="X30" s="2038"/>
      <c r="Y30" s="2038"/>
      <c r="Z30" s="1509"/>
      <c r="AA30" s="2038"/>
      <c r="AB30" s="2051"/>
      <c r="AC30" s="1513"/>
      <c r="AD30" s="2038"/>
      <c r="AE30" s="2038"/>
      <c r="AF30" s="1514"/>
      <c r="AG30" s="1514"/>
      <c r="AH30" s="2095"/>
      <c r="AI30" s="2096"/>
      <c r="AJ30" s="1493"/>
    </row>
    <row r="31" spans="4:64" ht="14.25" customHeight="1">
      <c r="D31" s="2084"/>
      <c r="E31" s="2086"/>
      <c r="F31" s="2086"/>
      <c r="G31" s="2090"/>
      <c r="H31" s="1519"/>
      <c r="I31" s="2092"/>
      <c r="J31" s="2051"/>
      <c r="K31" s="1502"/>
      <c r="L31" s="2038"/>
      <c r="M31" s="2038"/>
      <c r="N31" s="1509"/>
      <c r="O31" s="2038"/>
      <c r="P31" s="2051"/>
      <c r="Q31" s="1510"/>
      <c r="R31" s="2038"/>
      <c r="S31" s="2038"/>
      <c r="T31" s="1511"/>
      <c r="U31" s="2038"/>
      <c r="V31" s="2051"/>
      <c r="W31" s="1512"/>
      <c r="X31" s="2038"/>
      <c r="Y31" s="2038"/>
      <c r="Z31" s="1424"/>
      <c r="AA31" s="1514"/>
      <c r="AB31" s="2095"/>
      <c r="AC31" s="2095"/>
      <c r="AD31" s="2095"/>
      <c r="AE31" s="2095"/>
      <c r="AF31" s="2095"/>
      <c r="AG31" s="2095"/>
      <c r="AH31" s="2095"/>
      <c r="AI31" s="2096"/>
      <c r="AJ31" s="1493"/>
    </row>
    <row r="32" spans="4:64" ht="14.25" customHeight="1">
      <c r="D32" s="2084"/>
      <c r="E32" s="2086"/>
      <c r="F32" s="2086"/>
      <c r="G32" s="2090"/>
      <c r="H32" s="1519"/>
      <c r="I32" s="2092"/>
      <c r="J32" s="2051"/>
      <c r="K32" s="1502"/>
      <c r="L32" s="2038"/>
      <c r="M32" s="2038"/>
      <c r="N32" s="1509"/>
      <c r="O32" s="2038"/>
      <c r="P32" s="2051"/>
      <c r="Q32" s="1510"/>
      <c r="R32" s="2038"/>
      <c r="S32" s="2038"/>
      <c r="T32" s="1515"/>
      <c r="U32" s="1516"/>
      <c r="V32" s="2095"/>
      <c r="W32" s="2095"/>
      <c r="X32" s="2095"/>
      <c r="Y32" s="2095"/>
      <c r="Z32" s="2095"/>
      <c r="AA32" s="2095"/>
      <c r="AB32" s="2095"/>
      <c r="AC32" s="2095"/>
      <c r="AD32" s="2095"/>
      <c r="AE32" s="2095"/>
      <c r="AF32" s="2095"/>
      <c r="AG32" s="2095"/>
      <c r="AH32" s="2095"/>
      <c r="AI32" s="2096"/>
      <c r="AJ32" s="1493"/>
    </row>
    <row r="33" spans="4:64" ht="11.25" customHeight="1">
      <c r="D33" s="2084"/>
      <c r="E33" s="2086"/>
      <c r="F33" s="2086"/>
      <c r="G33" s="2090"/>
      <c r="H33" s="1520"/>
      <c r="I33" s="2092"/>
      <c r="J33" s="2051"/>
      <c r="K33" s="1502"/>
      <c r="L33" s="2038"/>
      <c r="M33" s="2038"/>
      <c r="N33" s="1514"/>
      <c r="O33" s="1514"/>
      <c r="P33" s="2095"/>
      <c r="Q33" s="2095"/>
      <c r="R33" s="2095"/>
      <c r="S33" s="2095"/>
      <c r="T33" s="2095"/>
      <c r="U33" s="2095"/>
      <c r="V33" s="2095"/>
      <c r="W33" s="2095"/>
      <c r="X33" s="2095"/>
      <c r="Y33" s="2095"/>
      <c r="Z33" s="2095"/>
      <c r="AA33" s="2095"/>
      <c r="AB33" s="2095"/>
      <c r="AC33" s="2095"/>
      <c r="AD33" s="2095"/>
      <c r="AE33" s="2095"/>
      <c r="AF33" s="2095"/>
      <c r="AG33" s="2095"/>
      <c r="AH33" s="2095"/>
      <c r="AI33" s="2096"/>
      <c r="AJ33" s="1493"/>
    </row>
    <row r="34" spans="4:64" s="1853" customFormat="1" ht="11.25" customHeight="1">
      <c r="D34" s="2085"/>
      <c r="E34" s="2087"/>
      <c r="F34" s="2088"/>
      <c r="G34" s="2034"/>
      <c r="H34" s="1517"/>
      <c r="I34" s="1521"/>
      <c r="J34" s="2093"/>
      <c r="K34" s="2093"/>
      <c r="L34" s="2093"/>
      <c r="M34" s="2093"/>
      <c r="N34" s="2093"/>
      <c r="O34" s="2093"/>
      <c r="P34" s="2093"/>
      <c r="Q34" s="2093"/>
      <c r="R34" s="2093"/>
      <c r="S34" s="2093"/>
      <c r="T34" s="2093"/>
      <c r="U34" s="2093"/>
      <c r="V34" s="2093"/>
      <c r="W34" s="2093"/>
      <c r="X34" s="2093"/>
      <c r="Y34" s="2093"/>
      <c r="Z34" s="2093"/>
      <c r="AA34" s="2093"/>
      <c r="AB34" s="2093"/>
      <c r="AC34" s="2093"/>
      <c r="AD34" s="2093"/>
      <c r="AE34" s="2093"/>
      <c r="AF34" s="2093"/>
      <c r="AG34" s="2093"/>
      <c r="AH34" s="2093"/>
      <c r="AI34" s="2094"/>
      <c r="AJ34" s="1493"/>
      <c r="AK34" s="224"/>
      <c r="AL34" s="1493"/>
      <c r="AM34" s="1493"/>
      <c r="AN34" s="1493"/>
      <c r="AO34" s="1493"/>
      <c r="AP34" s="1493"/>
      <c r="AQ34" s="1493"/>
      <c r="AR34" s="1493"/>
      <c r="AS34" s="1493"/>
      <c r="AT34" s="1493"/>
      <c r="AU34" s="1493"/>
      <c r="AV34" s="1493"/>
      <c r="AW34" s="1493"/>
      <c r="AX34" s="1493"/>
      <c r="AY34" s="1493"/>
      <c r="AZ34" s="1493"/>
      <c r="BA34" s="1493"/>
      <c r="BB34" s="1493"/>
      <c r="BC34" s="1493"/>
      <c r="BD34" s="1493"/>
      <c r="BE34" s="1493"/>
      <c r="BF34" s="1493"/>
      <c r="BG34" s="1493"/>
      <c r="BH34" s="1493"/>
      <c r="BI34" s="1493"/>
      <c r="BJ34" s="1493"/>
      <c r="BK34" s="1493"/>
      <c r="BL34" s="1493"/>
    </row>
    <row r="35" spans="4:64" ht="14.25" customHeight="1">
      <c r="D35" s="2084" t="s">
        <v>93</v>
      </c>
      <c r="E35" s="2086" t="s">
        <v>261</v>
      </c>
      <c r="F35" s="2086" t="s">
        <v>266</v>
      </c>
      <c r="G35" s="2089" t="s">
        <v>48</v>
      </c>
      <c r="H35" s="1518"/>
      <c r="I35" s="2091"/>
      <c r="J35" s="2050"/>
      <c r="K35" s="1426"/>
      <c r="L35" s="2037"/>
      <c r="M35" s="2037"/>
      <c r="N35" s="1503"/>
      <c r="O35" s="2037"/>
      <c r="P35" s="2050"/>
      <c r="Q35" s="1504"/>
      <c r="R35" s="2037"/>
      <c r="S35" s="2037"/>
      <c r="T35" s="1505"/>
      <c r="U35" s="2037"/>
      <c r="V35" s="2050"/>
      <c r="W35" s="1506"/>
      <c r="X35" s="2037"/>
      <c r="Y35" s="2037"/>
      <c r="Z35" s="1503"/>
      <c r="AA35" s="2037"/>
      <c r="AB35" s="2050"/>
      <c r="AC35" s="1507"/>
      <c r="AD35" s="2037"/>
      <c r="AE35" s="2037"/>
      <c r="AF35" s="1425"/>
      <c r="AG35" s="1425"/>
      <c r="AH35" s="1508"/>
      <c r="AI35" s="1217"/>
      <c r="AJ35" s="1493"/>
    </row>
    <row r="36" spans="4:64" ht="14.25" customHeight="1">
      <c r="D36" s="2084"/>
      <c r="E36" s="2086"/>
      <c r="F36" s="2086"/>
      <c r="G36" s="2090"/>
      <c r="H36" s="1519"/>
      <c r="I36" s="2092"/>
      <c r="J36" s="2051"/>
      <c r="K36" s="1502"/>
      <c r="L36" s="2038"/>
      <c r="M36" s="2038"/>
      <c r="N36" s="1509"/>
      <c r="O36" s="2038"/>
      <c r="P36" s="2051"/>
      <c r="Q36" s="1510"/>
      <c r="R36" s="2038"/>
      <c r="S36" s="2038"/>
      <c r="T36" s="1511"/>
      <c r="U36" s="2038"/>
      <c r="V36" s="2051"/>
      <c r="W36" s="1512"/>
      <c r="X36" s="2038"/>
      <c r="Y36" s="2038"/>
      <c r="Z36" s="1509"/>
      <c r="AA36" s="2038"/>
      <c r="AB36" s="2051"/>
      <c r="AC36" s="1513"/>
      <c r="AD36" s="2038"/>
      <c r="AE36" s="2038"/>
      <c r="AF36" s="1514"/>
      <c r="AG36" s="1514"/>
      <c r="AH36" s="2095"/>
      <c r="AI36" s="2096"/>
      <c r="AJ36" s="1493"/>
    </row>
    <row r="37" spans="4:64" ht="14.25" customHeight="1">
      <c r="D37" s="2084"/>
      <c r="E37" s="2086"/>
      <c r="F37" s="2086"/>
      <c r="G37" s="2090"/>
      <c r="H37" s="1519"/>
      <c r="I37" s="2092"/>
      <c r="J37" s="2051"/>
      <c r="K37" s="1502"/>
      <c r="L37" s="2038"/>
      <c r="M37" s="2038"/>
      <c r="N37" s="1509"/>
      <c r="O37" s="2038"/>
      <c r="P37" s="2051"/>
      <c r="Q37" s="1510"/>
      <c r="R37" s="2038"/>
      <c r="S37" s="2038"/>
      <c r="T37" s="1511"/>
      <c r="U37" s="2038"/>
      <c r="V37" s="2051"/>
      <c r="W37" s="1512"/>
      <c r="X37" s="2038"/>
      <c r="Y37" s="2038"/>
      <c r="Z37" s="1424"/>
      <c r="AA37" s="1514"/>
      <c r="AB37" s="2095"/>
      <c r="AC37" s="2095"/>
      <c r="AD37" s="2095"/>
      <c r="AE37" s="2095"/>
      <c r="AF37" s="2095"/>
      <c r="AG37" s="2095"/>
      <c r="AH37" s="2095"/>
      <c r="AI37" s="2096"/>
      <c r="AJ37" s="1493"/>
    </row>
    <row r="38" spans="4:64" ht="14.25" customHeight="1">
      <c r="D38" s="2084"/>
      <c r="E38" s="2086"/>
      <c r="F38" s="2086"/>
      <c r="G38" s="2090"/>
      <c r="H38" s="1519"/>
      <c r="I38" s="2092"/>
      <c r="J38" s="2051"/>
      <c r="K38" s="1502"/>
      <c r="L38" s="2038"/>
      <c r="M38" s="2038"/>
      <c r="N38" s="1509"/>
      <c r="O38" s="2038"/>
      <c r="P38" s="2051"/>
      <c r="Q38" s="1510"/>
      <c r="R38" s="2038"/>
      <c r="S38" s="2038"/>
      <c r="T38" s="1515"/>
      <c r="U38" s="1516"/>
      <c r="V38" s="2095"/>
      <c r="W38" s="2095"/>
      <c r="X38" s="2095"/>
      <c r="Y38" s="2095"/>
      <c r="Z38" s="2095"/>
      <c r="AA38" s="2095"/>
      <c r="AB38" s="2095"/>
      <c r="AC38" s="2095"/>
      <c r="AD38" s="2095"/>
      <c r="AE38" s="2095"/>
      <c r="AF38" s="2095"/>
      <c r="AG38" s="2095"/>
      <c r="AH38" s="2095"/>
      <c r="AI38" s="2096"/>
      <c r="AJ38" s="1493"/>
    </row>
    <row r="39" spans="4:64" ht="11.25" customHeight="1">
      <c r="D39" s="2084"/>
      <c r="E39" s="2086"/>
      <c r="F39" s="2086"/>
      <c r="G39" s="2090"/>
      <c r="H39" s="1520"/>
      <c r="I39" s="2092"/>
      <c r="J39" s="2051"/>
      <c r="K39" s="1502"/>
      <c r="L39" s="2038"/>
      <c r="M39" s="2038"/>
      <c r="N39" s="1514"/>
      <c r="O39" s="1514"/>
      <c r="P39" s="2095"/>
      <c r="Q39" s="2095"/>
      <c r="R39" s="2095"/>
      <c r="S39" s="2095"/>
      <c r="T39" s="2095"/>
      <c r="U39" s="2095"/>
      <c r="V39" s="2095"/>
      <c r="W39" s="2095"/>
      <c r="X39" s="2095"/>
      <c r="Y39" s="2095"/>
      <c r="Z39" s="2095"/>
      <c r="AA39" s="2095"/>
      <c r="AB39" s="2095"/>
      <c r="AC39" s="2095"/>
      <c r="AD39" s="2095"/>
      <c r="AE39" s="2095"/>
      <c r="AF39" s="2095"/>
      <c r="AG39" s="2095"/>
      <c r="AH39" s="2095"/>
      <c r="AI39" s="2096"/>
      <c r="AJ39" s="1493"/>
    </row>
    <row r="40" spans="4:64" s="1853" customFormat="1" ht="11.25" customHeight="1">
      <c r="D40" s="2084"/>
      <c r="E40" s="2086"/>
      <c r="F40" s="2097"/>
      <c r="G40" s="2034"/>
      <c r="H40" s="1517"/>
      <c r="I40" s="1521"/>
      <c r="J40" s="2093"/>
      <c r="K40" s="2093"/>
      <c r="L40" s="2093"/>
      <c r="M40" s="2093"/>
      <c r="N40" s="2093"/>
      <c r="O40" s="2093"/>
      <c r="P40" s="2093"/>
      <c r="Q40" s="2093"/>
      <c r="R40" s="2093"/>
      <c r="S40" s="2093"/>
      <c r="T40" s="2093"/>
      <c r="U40" s="2093"/>
      <c r="V40" s="2093"/>
      <c r="W40" s="2093"/>
      <c r="X40" s="2093"/>
      <c r="Y40" s="2093"/>
      <c r="Z40" s="2093"/>
      <c r="AA40" s="2093"/>
      <c r="AB40" s="2093"/>
      <c r="AC40" s="2093"/>
      <c r="AD40" s="2093"/>
      <c r="AE40" s="2093"/>
      <c r="AF40" s="2093"/>
      <c r="AG40" s="2093"/>
      <c r="AH40" s="2093"/>
      <c r="AI40" s="2094"/>
      <c r="AJ40" s="1493"/>
      <c r="AK40" s="224"/>
      <c r="AL40" s="1493"/>
      <c r="AM40" s="1493"/>
      <c r="AN40" s="1493"/>
      <c r="AO40" s="1493"/>
      <c r="AP40" s="1493"/>
      <c r="AQ40" s="1493"/>
      <c r="AR40" s="1493"/>
      <c r="AS40" s="1493"/>
      <c r="AT40" s="1493"/>
      <c r="AU40" s="1493"/>
      <c r="AV40" s="1493"/>
      <c r="AW40" s="1493"/>
      <c r="AX40" s="1493"/>
      <c r="AY40" s="1493"/>
      <c r="AZ40" s="1493"/>
      <c r="BA40" s="1493"/>
      <c r="BB40" s="1493"/>
      <c r="BC40" s="1493"/>
      <c r="BD40" s="1493"/>
      <c r="BE40" s="1493"/>
      <c r="BF40" s="1493"/>
      <c r="BG40" s="1493"/>
      <c r="BH40" s="1493"/>
      <c r="BI40" s="1493"/>
      <c r="BJ40" s="1493"/>
      <c r="BK40" s="1493"/>
      <c r="BL40" s="1493"/>
    </row>
    <row r="41" spans="4:64" ht="11.25" customHeight="1">
      <c r="AK41" s="355"/>
    </row>
    <row r="42" spans="4:64" ht="11.25" customHeight="1">
      <c r="AK42" s="355"/>
    </row>
    <row r="43" spans="4:64" ht="11.25" customHeight="1">
      <c r="AK43" s="355"/>
    </row>
    <row r="44" spans="4:64" ht="11.25" customHeight="1">
      <c r="AK44" s="355"/>
    </row>
    <row r="45" spans="4:64" ht="11.25" customHeight="1">
      <c r="AK45" s="355"/>
    </row>
    <row r="46" spans="4:64" ht="11.25" customHeight="1">
      <c r="AK46" s="355"/>
    </row>
    <row r="47" spans="4:64" ht="11.25" customHeight="1">
      <c r="AK47" s="355"/>
    </row>
    <row r="48" spans="4:64" ht="11.25" customHeight="1">
      <c r="AK48" s="355"/>
    </row>
    <row r="49" spans="37:37" ht="11.25" customHeight="1">
      <c r="AK49" s="355"/>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I58"/>
  <sheetViews>
    <sheetView showGridLines="0" topLeftCell="C3" zoomScale="90" workbookViewId="0"/>
  </sheetViews>
  <sheetFormatPr defaultColWidth="9.140625" defaultRowHeight="11.25" customHeight="1"/>
  <cols>
    <col min="1" max="1" width="15" style="1860" hidden="1" customWidth="1"/>
    <col min="2" max="2" width="15" style="1862" hidden="1" customWidth="1"/>
    <col min="3" max="3" width="3.7109375" style="1864" customWidth="1"/>
    <col min="4" max="4" width="6.85546875" style="1865" customWidth="1"/>
    <col min="5" max="5" width="52.28515625" style="1864" customWidth="1"/>
    <col min="6" max="6" width="48.85546875" style="1864" customWidth="1"/>
    <col min="7" max="7" width="121.7109375" style="1864" customWidth="1"/>
    <col min="8" max="8" width="9.140625" style="1864"/>
    <col min="9" max="9" width="65" style="1864" customWidth="1"/>
  </cols>
  <sheetData>
    <row r="1" spans="1:9" ht="11.25" hidden="1" customHeight="1">
      <c r="A1" s="1599" t="s">
        <v>267</v>
      </c>
    </row>
    <row r="2" spans="1:9" ht="11.25" hidden="1" customHeight="1"/>
    <row r="3" spans="1:9" s="1861" customFormat="1" ht="11.25" customHeight="1">
      <c r="A3" s="1599"/>
      <c r="B3" s="426"/>
      <c r="D3" s="403"/>
    </row>
    <row r="4" spans="1:9" ht="25.5" customHeight="1">
      <c r="D4" s="2067" t="str">
        <f>ORG_INFO_NAME_FORM</f>
        <v>Форма 1. Информация об организации, осуществляющей водоотведение (общая информация)</v>
      </c>
      <c r="E4" s="2068"/>
      <c r="F4" s="2069"/>
      <c r="I4" s="633"/>
    </row>
    <row r="5" spans="1:9" ht="17.25" customHeight="1">
      <c r="D5" s="2098" t="str">
        <f>IF(org=0,"Не определено",org)</f>
        <v>ООО "Горводоканал"</v>
      </c>
      <c r="E5" s="2098"/>
      <c r="F5" s="2098"/>
      <c r="I5" s="633"/>
    </row>
    <row r="6" spans="1:9" s="1861" customFormat="1" ht="11.25" customHeight="1">
      <c r="A6" s="1599"/>
      <c r="B6" s="426"/>
      <c r="D6" s="632"/>
      <c r="E6" s="632"/>
      <c r="F6" s="670"/>
      <c r="G6" s="632"/>
    </row>
    <row r="7" spans="1:9" ht="11.25" hidden="1" customHeight="1">
      <c r="A7" s="384"/>
      <c r="B7" s="427"/>
      <c r="C7" s="384"/>
      <c r="D7" s="389"/>
      <c r="E7" s="2105"/>
      <c r="F7" s="2105"/>
    </row>
    <row r="8" spans="1:9" ht="11.25" customHeight="1">
      <c r="A8" s="384"/>
      <c r="B8" s="427"/>
      <c r="C8" s="384"/>
      <c r="D8" s="2101" t="s">
        <v>268</v>
      </c>
      <c r="E8" s="2102"/>
      <c r="F8" s="2102"/>
      <c r="G8" s="2106" t="s">
        <v>269</v>
      </c>
    </row>
    <row r="9" spans="1:9" ht="11.25" customHeight="1">
      <c r="A9" s="384"/>
      <c r="B9" s="427"/>
      <c r="C9" s="384"/>
      <c r="D9" s="398" t="s">
        <v>73</v>
      </c>
      <c r="E9" s="377" t="s">
        <v>270</v>
      </c>
      <c r="F9" s="377" t="s">
        <v>271</v>
      </c>
      <c r="G9" s="2107"/>
    </row>
    <row r="10" spans="1:9" ht="12" hidden="1" customHeight="1">
      <c r="A10" s="384"/>
      <c r="B10" s="427"/>
      <c r="C10" s="384"/>
      <c r="D10" s="390"/>
      <c r="E10" s="390"/>
      <c r="F10" s="390"/>
      <c r="G10" s="390"/>
    </row>
    <row r="11" spans="1:9" ht="22.5" hidden="1" customHeight="1">
      <c r="A11" s="384"/>
      <c r="B11" s="427"/>
      <c r="C11" s="384"/>
      <c r="D11" s="918" t="s">
        <v>91</v>
      </c>
      <c r="E11" s="921" t="s">
        <v>272</v>
      </c>
      <c r="F11" s="920" t="str">
        <f>IF(region_name="","",region_name)</f>
        <v>Пензенская область</v>
      </c>
      <c r="G11" s="921" t="s">
        <v>273</v>
      </c>
      <c r="H11" s="401"/>
    </row>
    <row r="12" spans="1:9" ht="22.5" hidden="1" customHeight="1">
      <c r="A12" s="384"/>
      <c r="B12" s="427"/>
      <c r="C12" s="384"/>
      <c r="D12" s="376" t="s">
        <v>91</v>
      </c>
      <c r="E12" s="37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74" t="s">
        <v>274</v>
      </c>
      <c r="G12" s="400"/>
      <c r="H12" s="401"/>
    </row>
    <row r="13" spans="1:9" ht="22.5" customHeight="1">
      <c r="A13" s="384"/>
      <c r="B13" s="427"/>
      <c r="C13" s="384"/>
      <c r="D13" s="376" t="s">
        <v>91</v>
      </c>
      <c r="E13" s="373" t="str">
        <f>"Наименование юридического лица"&amp;IF(TEMPLATE_SPHERE="TKO"," (индивидуального предпринимателя)","")</f>
        <v>Наименование юридического лица</v>
      </c>
      <c r="F13" s="372"/>
      <c r="G13" s="37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01"/>
    </row>
    <row r="14" spans="1:9" ht="22.5" hidden="1" customHeight="1">
      <c r="A14" s="384"/>
      <c r="B14" s="427"/>
      <c r="C14" s="384"/>
      <c r="D14" s="918" t="s">
        <v>275</v>
      </c>
      <c r="E14" s="919" t="s">
        <v>276</v>
      </c>
      <c r="F14" s="920" t="str">
        <f>IF(inn="","",inn)</f>
        <v>5836623790</v>
      </c>
      <c r="G14" s="921" t="s">
        <v>277</v>
      </c>
      <c r="H14" s="401"/>
    </row>
    <row r="15" spans="1:9" ht="22.5" hidden="1" customHeight="1">
      <c r="A15" s="384"/>
      <c r="B15" s="427"/>
      <c r="C15" s="384"/>
      <c r="D15" s="918" t="s">
        <v>278</v>
      </c>
      <c r="E15" s="919" t="s">
        <v>279</v>
      </c>
      <c r="F15" s="920" t="str">
        <f>IF(kpp="","",kpp)</f>
        <v>583701001</v>
      </c>
      <c r="G15" s="921" t="s">
        <v>280</v>
      </c>
      <c r="H15" s="401"/>
    </row>
    <row r="16" spans="1:9" ht="36.75" customHeight="1">
      <c r="A16" s="384"/>
      <c r="B16" s="427"/>
      <c r="C16" s="384"/>
      <c r="D16" s="376" t="s">
        <v>92</v>
      </c>
      <c r="E16" s="37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2"/>
      <c r="G16" s="37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01"/>
    </row>
    <row r="17" spans="1:9" ht="22.5" customHeight="1">
      <c r="A17" s="384"/>
      <c r="B17" s="427"/>
      <c r="C17" s="384"/>
      <c r="D17" s="376" t="s">
        <v>75</v>
      </c>
      <c r="E17" s="373" t="str">
        <f>"Дата присвоения ОГРН"&amp;IF(TEMPLATE_SPHERE="TKO",""," (ОГРНИП)")</f>
        <v>Дата присвоения ОГРН (ОГРНИП)</v>
      </c>
      <c r="F17" s="1644" t="s">
        <v>18</v>
      </c>
      <c r="G17" s="375" t="str">
        <f>"Дата присвоения ОГРН"&amp;IF(TEMPLATE_SPHERE="TKO",""," (ОГРНИП)")&amp;" указывается в виде «ДД.ММ.ГГГГ»."</f>
        <v>Дата присвоения ОГРН (ОГРНИП) указывается в виде «ДД.ММ.ГГГГ».</v>
      </c>
      <c r="H17" s="401"/>
    </row>
    <row r="18" spans="1:9" ht="56.25" customHeight="1">
      <c r="A18" s="384"/>
      <c r="B18" s="427"/>
      <c r="C18" s="384"/>
      <c r="D18" s="376" t="s">
        <v>76</v>
      </c>
      <c r="E18" s="37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2"/>
      <c r="G18" s="400"/>
      <c r="H18" s="401"/>
    </row>
    <row r="19" spans="1:9" ht="22.5" hidden="1" customHeight="1">
      <c r="A19" s="2103">
        <v>1</v>
      </c>
      <c r="B19" s="427"/>
      <c r="C19" s="2108"/>
      <c r="D19" s="371">
        <v>5</v>
      </c>
      <c r="E19" s="373" t="s">
        <v>281</v>
      </c>
      <c r="F19" s="374" t="s">
        <v>274</v>
      </c>
      <c r="G19" s="375" t="s">
        <v>282</v>
      </c>
      <c r="H19" s="401"/>
      <c r="I19" s="766"/>
    </row>
    <row r="20" spans="1:9" ht="33.75" hidden="1" customHeight="1">
      <c r="A20" s="2103"/>
      <c r="B20" s="427"/>
      <c r="C20" s="2108"/>
      <c r="D20" s="376" t="s">
        <v>283</v>
      </c>
      <c r="E20" s="370" t="s">
        <v>284</v>
      </c>
      <c r="F20" s="795" t="s">
        <v>18</v>
      </c>
      <c r="G20" s="400"/>
      <c r="H20" s="401"/>
      <c r="I20" s="766"/>
    </row>
    <row r="21" spans="1:9" ht="22.5" hidden="1" customHeight="1">
      <c r="A21" s="2103"/>
      <c r="B21" s="427"/>
      <c r="C21" s="2108"/>
      <c r="D21" s="376" t="s">
        <v>285</v>
      </c>
      <c r="E21" s="370" t="s">
        <v>286</v>
      </c>
      <c r="F21" s="1645" t="s">
        <v>18</v>
      </c>
      <c r="G21" s="375" t="s">
        <v>287</v>
      </c>
      <c r="H21" s="401"/>
      <c r="I21" s="766"/>
    </row>
    <row r="22" spans="1:9" ht="22.5" hidden="1" customHeight="1">
      <c r="A22" s="2103"/>
      <c r="B22" s="427"/>
      <c r="C22" s="2108"/>
      <c r="D22" s="376" t="s">
        <v>288</v>
      </c>
      <c r="E22" s="370" t="s">
        <v>289</v>
      </c>
      <c r="F22" s="795" t="s">
        <v>18</v>
      </c>
      <c r="G22" s="400"/>
      <c r="H22" s="401"/>
      <c r="I22" s="766"/>
    </row>
    <row r="23" spans="1:9" ht="22.5" hidden="1" customHeight="1">
      <c r="A23" s="2103"/>
      <c r="B23" s="427"/>
      <c r="C23" s="2108"/>
      <c r="D23" s="376" t="s">
        <v>290</v>
      </c>
      <c r="E23" s="370" t="s">
        <v>291</v>
      </c>
      <c r="F23" s="795" t="s">
        <v>18</v>
      </c>
      <c r="G23" s="375" t="s">
        <v>292</v>
      </c>
      <c r="H23" s="401"/>
      <c r="I23" s="766"/>
    </row>
    <row r="24" spans="1:9" s="1862" customFormat="1" ht="24.75" hidden="1" customHeight="1">
      <c r="A24" s="384"/>
      <c r="B24" s="427"/>
      <c r="C24" s="427"/>
      <c r="D24" s="915" t="s">
        <v>75</v>
      </c>
      <c r="E24" s="917" t="s">
        <v>293</v>
      </c>
      <c r="F24" s="922" t="s">
        <v>274</v>
      </c>
      <c r="G24" s="917"/>
    </row>
    <row r="25" spans="1:9" s="1862" customFormat="1" ht="11.25" hidden="1" customHeight="1">
      <c r="A25" s="384"/>
      <c r="B25" s="427"/>
      <c r="C25" s="427"/>
      <c r="D25" s="915" t="s">
        <v>294</v>
      </c>
      <c r="E25" s="916" t="s">
        <v>295</v>
      </c>
      <c r="F25" s="922" t="s">
        <v>274</v>
      </c>
      <c r="G25" s="917"/>
    </row>
    <row r="26" spans="1:9" s="1862" customFormat="1" ht="11.25" hidden="1" customHeight="1">
      <c r="A26" s="384"/>
      <c r="B26" s="427"/>
      <c r="C26" s="427"/>
      <c r="D26" s="915" t="s">
        <v>296</v>
      </c>
      <c r="E26" s="923" t="s">
        <v>297</v>
      </c>
      <c r="F26" s="924"/>
      <c r="G26" s="91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row>
    <row r="27" spans="1:9" s="1862" customFormat="1" ht="11.25" hidden="1" customHeight="1">
      <c r="A27" s="384"/>
      <c r="B27" s="427"/>
      <c r="C27" s="427"/>
      <c r="D27" s="915" t="s">
        <v>298</v>
      </c>
      <c r="E27" s="923" t="s">
        <v>299</v>
      </c>
      <c r="F27" s="924"/>
      <c r="G27" s="91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row>
    <row r="28" spans="1:9" s="1862" customFormat="1" ht="11.25" hidden="1" customHeight="1">
      <c r="A28" s="384"/>
      <c r="B28" s="427"/>
      <c r="C28" s="427"/>
      <c r="D28" s="915" t="s">
        <v>300</v>
      </c>
      <c r="E28" s="923" t="s">
        <v>301</v>
      </c>
      <c r="F28" s="924"/>
      <c r="G28" s="91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row>
    <row r="29" spans="1:9" s="1862" customFormat="1" ht="11.25" hidden="1" customHeight="1">
      <c r="A29" s="384"/>
      <c r="B29" s="427"/>
      <c r="C29" s="427"/>
      <c r="D29" s="915" t="s">
        <v>302</v>
      </c>
      <c r="E29" s="916" t="s">
        <v>303</v>
      </c>
      <c r="F29" s="924"/>
      <c r="G29" s="917"/>
    </row>
    <row r="30" spans="1:9" s="1862" customFormat="1" ht="11.25" hidden="1" customHeight="1">
      <c r="A30" s="384"/>
      <c r="B30" s="427"/>
      <c r="C30" s="427"/>
      <c r="D30" s="915" t="s">
        <v>304</v>
      </c>
      <c r="E30" s="916" t="s">
        <v>305</v>
      </c>
      <c r="F30" s="924"/>
      <c r="G30" s="917"/>
    </row>
    <row r="31" spans="1:9" s="1862" customFormat="1" ht="11.25" hidden="1" customHeight="1">
      <c r="A31" s="384"/>
      <c r="B31" s="427"/>
      <c r="C31" s="427"/>
      <c r="D31" s="915" t="s">
        <v>306</v>
      </c>
      <c r="E31" s="916" t="s">
        <v>307</v>
      </c>
      <c r="F31" s="925"/>
      <c r="G31" s="917"/>
    </row>
    <row r="32" spans="1:9" ht="22.5" customHeight="1">
      <c r="A32" s="384" t="str">
        <f>IF(TEMPLATE_SPHERE="HEAT","6","5")</f>
        <v>5</v>
      </c>
      <c r="B32" s="427"/>
      <c r="C32" s="384"/>
      <c r="D32" s="371" t="str">
        <f>A32</f>
        <v>5</v>
      </c>
      <c r="E32" s="36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2" s="374" t="s">
        <v>274</v>
      </c>
      <c r="G32" s="400"/>
      <c r="H32" s="401"/>
    </row>
    <row r="33" spans="1:8" ht="22.5" customHeight="1">
      <c r="A33" s="384"/>
      <c r="B33" s="427"/>
      <c r="C33" s="384"/>
      <c r="D33" s="371" t="str">
        <f>D32&amp;".1"</f>
        <v>5.1</v>
      </c>
      <c r="E33" s="373" t="str">
        <f>"фамилия"&amp;IF(TEMPLATE_SPHERE&lt;&gt;"HEAT"," руководителя","")</f>
        <v>фамилия руководителя</v>
      </c>
      <c r="F33" s="372"/>
      <c r="G33" s="37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3" s="401"/>
    </row>
    <row r="34" spans="1:8" ht="22.5" customHeight="1">
      <c r="A34" s="384"/>
      <c r="B34" s="427"/>
      <c r="C34" s="384"/>
      <c r="D34" s="371" t="str">
        <f>D32&amp;".2"</f>
        <v>5.2</v>
      </c>
      <c r="E34" s="373" t="str">
        <f>"имя"&amp;IF(TEMPLATE_SPHERE&lt;&gt;"HEAT"," руководителя","")</f>
        <v>имя руководителя</v>
      </c>
      <c r="F34" s="372"/>
      <c r="G34" s="37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4" s="401"/>
    </row>
    <row r="35" spans="1:8" ht="22.5" customHeight="1">
      <c r="A35" s="384"/>
      <c r="B35" s="427"/>
      <c r="C35" s="384"/>
      <c r="D35" s="371" t="str">
        <f>D32&amp;".3"</f>
        <v>5.3</v>
      </c>
      <c r="E35" s="373" t="str">
        <f>"отчество"&amp;IF(TEMPLATE_SPHERE&lt;&gt;"HEAT"," руководителя","")</f>
        <v>отчество руководителя</v>
      </c>
      <c r="F35" s="617"/>
      <c r="G35" s="37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5" s="401"/>
    </row>
    <row r="36" spans="1:8" ht="33.75" customHeight="1">
      <c r="A36" s="384"/>
      <c r="B36" s="427"/>
      <c r="C36" s="384"/>
      <c r="D36" s="371">
        <f>D32+1</f>
        <v>6</v>
      </c>
      <c r="E36" s="36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6" s="372"/>
      <c r="G36" s="375" t="s">
        <v>308</v>
      </c>
      <c r="H36" s="401"/>
    </row>
    <row r="37" spans="1:8" ht="33.75" customHeight="1">
      <c r="A37" s="384"/>
      <c r="B37" s="427"/>
      <c r="C37" s="384"/>
      <c r="D37" s="371">
        <f>D36+1</f>
        <v>7</v>
      </c>
      <c r="E37" s="36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7" s="372"/>
      <c r="G37" s="375" t="s">
        <v>308</v>
      </c>
      <c r="H37" s="401"/>
    </row>
    <row r="38" spans="1:8" ht="22.5" customHeight="1">
      <c r="A38" s="384"/>
      <c r="B38" s="427"/>
      <c r="C38" s="384"/>
      <c r="D38" s="371">
        <f>D37+1</f>
        <v>8</v>
      </c>
      <c r="E38" s="36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8" s="374" t="s">
        <v>274</v>
      </c>
      <c r="G38" s="210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01"/>
    </row>
    <row r="39" spans="1:8" ht="22.5" hidden="1" customHeight="1">
      <c r="A39" s="384"/>
      <c r="B39" s="427"/>
      <c r="C39" s="384"/>
      <c r="D39" s="371" t="str">
        <f>D38&amp;".0"</f>
        <v>8.0</v>
      </c>
      <c r="E39" s="1524"/>
      <c r="F39" s="795"/>
      <c r="G39" s="2110"/>
      <c r="H39" s="401"/>
    </row>
    <row r="40" spans="1:8" ht="22.5" customHeight="1">
      <c r="A40" s="384"/>
      <c r="B40" s="384"/>
      <c r="C40" s="1601"/>
      <c r="D40" s="371" t="str">
        <f>D38&amp;".1"</f>
        <v>8.1</v>
      </c>
      <c r="E40" s="774"/>
      <c r="F40" s="775"/>
      <c r="G40" s="2110"/>
      <c r="H40" s="401"/>
    </row>
    <row r="41" spans="1:8" ht="15" customHeight="1">
      <c r="A41" s="384"/>
      <c r="B41" s="427"/>
      <c r="C41" s="384"/>
      <c r="D41" s="393"/>
      <c r="E41" s="348" t="s">
        <v>309</v>
      </c>
      <c r="F41" s="395"/>
      <c r="G41" s="2111"/>
      <c r="H41" s="402"/>
    </row>
    <row r="42" spans="1:8" ht="25.5" customHeight="1">
      <c r="A42" s="384"/>
      <c r="B42" s="427"/>
      <c r="C42" s="384"/>
      <c r="D42" s="371">
        <f>D38+1</f>
        <v>9</v>
      </c>
      <c r="E42" s="36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2" s="776"/>
      <c r="G42" s="37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01"/>
    </row>
    <row r="43" spans="1:8" ht="22.5" customHeight="1">
      <c r="A43" s="384"/>
      <c r="B43" s="427"/>
      <c r="C43" s="384"/>
      <c r="D43" s="371">
        <f>D42+1</f>
        <v>10</v>
      </c>
      <c r="E43" s="36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3" s="308"/>
      <c r="G43" s="400" t="s">
        <v>310</v>
      </c>
      <c r="H43" s="401"/>
    </row>
    <row r="44" spans="1:8" ht="22.5" customHeight="1">
      <c r="A44" s="384"/>
      <c r="B44" s="427"/>
      <c r="C44" s="384"/>
      <c r="D44" s="371">
        <f>D43+1</f>
        <v>11</v>
      </c>
      <c r="E44" s="369" t="s">
        <v>311</v>
      </c>
      <c r="F44" s="374" t="s">
        <v>274</v>
      </c>
      <c r="G44" s="368" t="str">
        <f>IF(TEMPLATE_SPHERE="TKO","Указывается режим работы организации.","")</f>
        <v/>
      </c>
      <c r="H44" s="401"/>
    </row>
    <row r="45" spans="1:8" ht="22.5" customHeight="1">
      <c r="A45" s="384"/>
      <c r="B45" s="427"/>
      <c r="C45" s="384"/>
      <c r="D45" s="371" t="str">
        <f>D44&amp;".1"</f>
        <v>11.1</v>
      </c>
      <c r="E45" s="373" t="str">
        <f>"режим работы регулируемой организации"&amp;IF(TEMPLATE_SPHERE="HEAT",", ЕТО, ТО","")</f>
        <v>режим работы регулируемой организации</v>
      </c>
      <c r="F45" s="1597"/>
      <c r="G45" s="368" t="s">
        <v>312</v>
      </c>
      <c r="H45" s="401"/>
    </row>
    <row r="46" spans="1:8" ht="22.5" customHeight="1">
      <c r="A46" s="2099"/>
      <c r="B46" s="427"/>
      <c r="C46" s="417"/>
      <c r="D46" s="371" t="str">
        <f>D44&amp;".2"</f>
        <v>11.2</v>
      </c>
      <c r="E46" s="373" t="s">
        <v>313</v>
      </c>
      <c r="F46" s="415"/>
      <c r="G46" s="368" t="s">
        <v>314</v>
      </c>
      <c r="H46" s="401"/>
    </row>
    <row r="47" spans="1:8" ht="22.5" customHeight="1">
      <c r="A47" s="2099"/>
      <c r="B47" s="427"/>
      <c r="C47" s="417"/>
      <c r="D47" s="371" t="str">
        <f>D44&amp;".3"</f>
        <v>11.3</v>
      </c>
      <c r="E47" s="373" t="s">
        <v>315</v>
      </c>
      <c r="F47" s="415"/>
      <c r="G47" s="368" t="s">
        <v>316</v>
      </c>
      <c r="H47" s="401"/>
    </row>
    <row r="48" spans="1:8" ht="22.5" customHeight="1">
      <c r="A48" s="2099"/>
      <c r="B48" s="427"/>
      <c r="C48" s="417"/>
      <c r="D48" s="371" t="str">
        <f>IF(TEMPLATE_SPHERE="TKO",D44&amp;".0",D44&amp;".4")</f>
        <v>11.4</v>
      </c>
      <c r="E48" s="367" t="s">
        <v>317</v>
      </c>
      <c r="F48" s="1598"/>
      <c r="G48" s="1674" t="s">
        <v>318</v>
      </c>
      <c r="H48" s="401"/>
    </row>
    <row r="49" spans="1:9" ht="22.5" customHeight="1">
      <c r="A49" s="384"/>
      <c r="B49" s="427"/>
      <c r="C49" s="384"/>
      <c r="D49" s="393"/>
      <c r="E49" s="348" t="s">
        <v>319</v>
      </c>
      <c r="F49" s="394"/>
      <c r="G49" s="1674" t="s">
        <v>320</v>
      </c>
      <c r="H49" s="402"/>
    </row>
    <row r="50" spans="1:9" ht="22.5" customHeight="1">
      <c r="A50" s="772"/>
      <c r="B50" s="427"/>
      <c r="C50" s="417"/>
      <c r="D50" s="371">
        <f>D44+1</f>
        <v>12</v>
      </c>
      <c r="E50" s="453" t="s">
        <v>321</v>
      </c>
      <c r="F50" s="415"/>
      <c r="G50" s="1602"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0" s="401"/>
    </row>
    <row r="51" spans="1:9" ht="11.25" customHeight="1">
      <c r="A51" s="384"/>
      <c r="B51" s="427"/>
      <c r="C51" s="384"/>
    </row>
    <row r="52" spans="1:9" s="1863" customFormat="1" ht="30" customHeight="1">
      <c r="A52" s="1600"/>
      <c r="B52" s="428"/>
      <c r="C52" s="2100"/>
      <c r="D52" s="210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2" s="2104"/>
      <c r="F52" s="2104"/>
      <c r="G52" s="2104"/>
      <c r="H52" s="383"/>
      <c r="I52" s="383"/>
    </row>
    <row r="53" spans="1:9" s="1863" customFormat="1" ht="39.75" customHeight="1">
      <c r="A53" s="384"/>
      <c r="B53" s="427"/>
      <c r="C53" s="2100"/>
      <c r="D53" s="2104"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3" s="2104"/>
      <c r="F53" s="2104"/>
      <c r="G53" s="2104"/>
    </row>
    <row r="54" spans="1:9" ht="11.25" customHeight="1">
      <c r="D54" s="385"/>
      <c r="E54" s="386"/>
      <c r="F54" s="386"/>
      <c r="G54" s="386"/>
    </row>
    <row r="55" spans="1:9" ht="27" customHeight="1">
      <c r="D55" s="387"/>
      <c r="E55" s="385"/>
      <c r="F55" s="396"/>
      <c r="G55" s="396"/>
    </row>
    <row r="56" spans="1:9" ht="11.25" customHeight="1">
      <c r="D56" s="385"/>
      <c r="E56" s="385"/>
      <c r="F56" s="386"/>
      <c r="G56" s="386"/>
    </row>
    <row r="57" spans="1:9" ht="39" customHeight="1">
      <c r="D57" s="388"/>
      <c r="E57" s="397"/>
      <c r="F57" s="397"/>
      <c r="G57" s="397"/>
    </row>
    <row r="58" spans="1:9" ht="27" customHeight="1">
      <c r="D58" s="388"/>
      <c r="E58" s="397"/>
      <c r="F58" s="397"/>
      <c r="G58" s="397"/>
    </row>
  </sheetData>
  <sheetProtection formatColumns="0" formatRows="0" insertRows="0" deleteColumns="0" deleteRows="0" sort="0" autoFilter="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S17"/>
  <sheetViews>
    <sheetView showGridLines="0" topLeftCell="C3" zoomScale="90" workbookViewId="0"/>
  </sheetViews>
  <sheetFormatPr defaultColWidth="10.5703125" defaultRowHeight="14.25" customHeight="1"/>
  <cols>
    <col min="1" max="1" width="9.140625" style="1871" hidden="1" customWidth="1"/>
    <col min="2" max="2" width="9.140625" style="1870" hidden="1" customWidth="1"/>
    <col min="3" max="3" width="3.7109375" style="1872" customWidth="1"/>
    <col min="4" max="4" width="5.5703125" style="1870" customWidth="1"/>
    <col min="5" max="5" width="48.42578125" style="1870" customWidth="1"/>
    <col min="6" max="6" width="38.140625" style="1870" customWidth="1"/>
    <col min="7" max="7" width="1.7109375" style="1814" hidden="1" customWidth="1"/>
    <col min="8" max="11" width="19.85546875" style="1870" hidden="1" customWidth="1"/>
    <col min="12" max="12" width="9.7109375" style="1870" hidden="1" customWidth="1"/>
    <col min="13" max="18" width="19.85546875" style="1870" hidden="1" customWidth="1"/>
    <col min="19" max="19" width="1.7109375" style="1814" hidden="1" customWidth="1"/>
    <col min="20" max="22" width="19.85546875" style="1873" customWidth="1"/>
    <col min="23" max="23" width="1.7109375" style="1814" hidden="1" customWidth="1"/>
    <col min="24" max="26" width="19.85546875" style="1873" hidden="1" customWidth="1"/>
    <col min="27" max="27" width="1.7109375" style="1814" hidden="1" customWidth="1"/>
    <col min="28" max="29" width="19.85546875" style="1873" hidden="1" customWidth="1"/>
    <col min="30" max="30" width="1.7109375" style="1814" hidden="1" customWidth="1"/>
    <col min="31" max="31" width="103.7109375" style="1870" hidden="1" customWidth="1"/>
    <col min="32" max="32" width="103.7109375" style="1873" customWidth="1"/>
    <col min="33" max="34" width="103.7109375" style="1873" hidden="1" customWidth="1"/>
    <col min="35" max="35" width="3.7109375" style="1874" customWidth="1"/>
    <col min="36" max="38" width="10.5703125" style="1869"/>
    <col min="39" max="39" width="13.7109375" style="1869" hidden="1" customWidth="1"/>
    <col min="40" max="40" width="15.42578125" style="1869" customWidth="1"/>
    <col min="41" max="41" width="16.28515625" style="1869" customWidth="1"/>
    <col min="42" max="45" width="10.5703125" style="1869"/>
  </cols>
  <sheetData>
    <row r="1" spans="1:45" ht="14.25" hidden="1" customHeight="1">
      <c r="E1" s="345"/>
      <c r="F1" s="345"/>
      <c r="G1" s="345"/>
      <c r="H1" s="2124" t="s">
        <v>322</v>
      </c>
      <c r="I1" s="2124"/>
      <c r="J1" s="2124"/>
      <c r="K1" s="2124"/>
      <c r="L1" s="2124"/>
      <c r="M1" s="2124"/>
      <c r="N1" s="2124"/>
      <c r="O1" s="2124"/>
      <c r="P1" s="2124"/>
      <c r="Q1" s="2124"/>
      <c r="R1" s="2124"/>
      <c r="T1" s="2124" t="s">
        <v>323</v>
      </c>
      <c r="U1" s="2124"/>
      <c r="V1" s="2124"/>
      <c r="X1" s="2124" t="s">
        <v>324</v>
      </c>
      <c r="Y1" s="2124"/>
      <c r="Z1" s="2124"/>
      <c r="AB1" s="2124" t="s">
        <v>325</v>
      </c>
      <c r="AC1" s="2124"/>
    </row>
    <row r="2" spans="1:45" ht="14.25" hidden="1" customHeight="1"/>
    <row r="3" spans="1:45" s="1866" customFormat="1" ht="6" customHeight="1">
      <c r="C3" s="619"/>
      <c r="D3" s="620"/>
      <c r="E3" s="620"/>
      <c r="F3" s="620"/>
      <c r="G3" s="620"/>
      <c r="H3" s="620" t="s">
        <v>326</v>
      </c>
      <c r="I3" s="620"/>
      <c r="J3" s="620"/>
      <c r="K3" s="620"/>
      <c r="L3" s="620"/>
      <c r="M3" s="620"/>
      <c r="N3" s="620"/>
      <c r="O3" s="620"/>
      <c r="P3" s="620"/>
      <c r="Q3" s="620"/>
      <c r="R3" s="620"/>
      <c r="S3" s="620"/>
      <c r="T3" s="620"/>
      <c r="U3" s="620"/>
      <c r="V3" s="620"/>
      <c r="W3" s="620"/>
      <c r="X3" s="620"/>
      <c r="Y3" s="620"/>
      <c r="Z3" s="620"/>
      <c r="AA3" s="620"/>
      <c r="AB3" s="620"/>
      <c r="AC3" s="620"/>
      <c r="AD3" s="620"/>
      <c r="AE3" s="620"/>
      <c r="AF3" s="620"/>
      <c r="AG3" s="620"/>
      <c r="AH3" s="620"/>
      <c r="AJ3" s="436"/>
      <c r="AK3" s="436"/>
      <c r="AL3" s="436"/>
      <c r="AM3" s="436"/>
      <c r="AN3" s="436"/>
      <c r="AO3" s="436"/>
      <c r="AP3" s="436"/>
      <c r="AQ3" s="436"/>
      <c r="AR3" s="436"/>
      <c r="AS3" s="436"/>
    </row>
    <row r="4" spans="1:45" ht="37.5" customHeight="1">
      <c r="C4" s="380"/>
      <c r="D4" s="2067" t="str">
        <f>ORG_VD_NAME_FORM</f>
        <v>Форма 1. Информация об организации, осуществляющей водоотведение (общая информация)</v>
      </c>
      <c r="E4" s="2068"/>
      <c r="F4" s="2068"/>
      <c r="G4" s="2068"/>
      <c r="H4" s="2068"/>
      <c r="I4" s="2068"/>
      <c r="J4" s="2068"/>
      <c r="K4" s="2068"/>
      <c r="L4" s="2068"/>
      <c r="M4" s="2068"/>
      <c r="N4" s="2068"/>
      <c r="O4" s="2068"/>
      <c r="P4" s="2068"/>
      <c r="Q4" s="2068"/>
      <c r="R4" s="2069"/>
      <c r="S4" s="767"/>
      <c r="T4" s="618"/>
      <c r="U4" s="618"/>
      <c r="V4" s="618"/>
      <c r="W4" s="618"/>
      <c r="X4" s="618"/>
      <c r="Y4" s="618"/>
      <c r="Z4" s="618"/>
      <c r="AA4" s="618"/>
      <c r="AB4" s="618"/>
      <c r="AC4" s="618"/>
      <c r="AD4" s="618"/>
      <c r="AE4" s="416"/>
      <c r="AF4" s="416"/>
      <c r="AG4" s="416"/>
      <c r="AH4" s="416"/>
      <c r="AI4" s="413"/>
    </row>
    <row r="5" spans="1:45" s="1814" customFormat="1" ht="17.25" customHeight="1">
      <c r="A5" s="677"/>
      <c r="C5" s="740"/>
      <c r="D5" s="2121" t="str">
        <f>IF(org=0,"Не определено",org)</f>
        <v>ООО "Горводоканал"</v>
      </c>
      <c r="E5" s="2122"/>
      <c r="F5" s="2122"/>
      <c r="G5" s="2122"/>
      <c r="H5" s="2122"/>
      <c r="I5" s="2122"/>
      <c r="J5" s="2122"/>
      <c r="K5" s="2122"/>
      <c r="L5" s="2122"/>
      <c r="M5" s="2122"/>
      <c r="N5" s="2122"/>
      <c r="O5" s="2122"/>
      <c r="P5" s="2122"/>
      <c r="Q5" s="2122"/>
      <c r="R5" s="2123"/>
      <c r="S5" s="767"/>
      <c r="T5" s="618"/>
      <c r="U5" s="618"/>
      <c r="V5" s="618"/>
      <c r="W5" s="618"/>
      <c r="X5" s="618"/>
      <c r="Y5" s="618"/>
      <c r="Z5" s="618"/>
      <c r="AA5" s="618"/>
      <c r="AB5" s="618"/>
      <c r="AC5" s="618"/>
      <c r="AD5" s="618"/>
      <c r="AE5" s="416"/>
      <c r="AF5" s="416"/>
      <c r="AG5" s="416"/>
      <c r="AH5" s="416"/>
      <c r="AI5" s="413"/>
      <c r="AJ5" s="436"/>
      <c r="AK5" s="436"/>
      <c r="AL5" s="436"/>
      <c r="AM5" s="436"/>
      <c r="AN5" s="436"/>
      <c r="AO5" s="436"/>
      <c r="AP5" s="436"/>
      <c r="AQ5" s="436"/>
      <c r="AR5" s="436"/>
      <c r="AS5" s="436"/>
    </row>
    <row r="6" spans="1:45" s="1868" customFormat="1" ht="11.25" customHeight="1">
      <c r="A6" s="404"/>
      <c r="C6" s="411"/>
      <c r="D6" s="410"/>
      <c r="E6" s="410"/>
      <c r="F6" s="410"/>
      <c r="G6" s="410"/>
      <c r="H6" s="410"/>
      <c r="I6" s="410"/>
      <c r="J6" s="410"/>
      <c r="K6" s="410"/>
      <c r="L6" s="410"/>
      <c r="M6" s="410"/>
      <c r="N6" s="410"/>
      <c r="O6" s="410"/>
      <c r="P6" s="410"/>
      <c r="Q6" s="410"/>
      <c r="R6" s="670"/>
      <c r="S6" s="670"/>
      <c r="T6" s="410"/>
      <c r="U6" s="410"/>
      <c r="V6" s="630"/>
      <c r="W6" s="630"/>
      <c r="X6" s="410"/>
      <c r="Y6" s="410"/>
      <c r="Z6" s="630"/>
      <c r="AA6" s="630"/>
      <c r="AB6" s="410"/>
      <c r="AC6" s="630"/>
      <c r="AD6" s="630"/>
      <c r="AE6" s="410"/>
      <c r="AF6" s="410"/>
      <c r="AG6" s="410"/>
      <c r="AH6" s="410"/>
      <c r="AJ6" s="414"/>
      <c r="AK6" s="414"/>
      <c r="AL6" s="414"/>
      <c r="AM6" s="414"/>
      <c r="AN6" s="414"/>
      <c r="AO6" s="414"/>
      <c r="AP6" s="414"/>
      <c r="AQ6" s="414"/>
      <c r="AR6" s="414"/>
      <c r="AS6" s="414"/>
    </row>
    <row r="7" spans="1:45" ht="14.25" customHeight="1">
      <c r="C7" s="380"/>
      <c r="D7" s="2112" t="s">
        <v>268</v>
      </c>
      <c r="E7" s="2125"/>
      <c r="F7" s="2125"/>
      <c r="G7" s="2125"/>
      <c r="H7" s="2125"/>
      <c r="I7" s="2125"/>
      <c r="J7" s="2125"/>
      <c r="K7" s="2125"/>
      <c r="L7" s="2125"/>
      <c r="M7" s="2125"/>
      <c r="N7" s="2125"/>
      <c r="O7" s="2125"/>
      <c r="P7" s="2125"/>
      <c r="Q7" s="2125"/>
      <c r="R7" s="2125"/>
      <c r="S7" s="2125"/>
      <c r="T7" s="2125"/>
      <c r="U7" s="2125"/>
      <c r="V7" s="2125"/>
      <c r="W7" s="2125"/>
      <c r="X7" s="2125"/>
      <c r="Y7" s="2125"/>
      <c r="Z7" s="2125"/>
      <c r="AA7" s="2125"/>
      <c r="AB7" s="2125"/>
      <c r="AC7" s="2125"/>
      <c r="AD7" s="2126"/>
      <c r="AE7" s="2074" t="s">
        <v>269</v>
      </c>
      <c r="AF7" s="2074" t="s">
        <v>269</v>
      </c>
      <c r="AG7" s="2074" t="s">
        <v>269</v>
      </c>
      <c r="AH7" s="2074" t="s">
        <v>269</v>
      </c>
    </row>
    <row r="8" spans="1:45" ht="25.5" customHeight="1">
      <c r="C8" s="380"/>
      <c r="D8" s="2019" t="s">
        <v>73</v>
      </c>
      <c r="E8" s="2074" t="str">
        <f>"Наименование "&amp;IF(TEMPLATE_SPHERE&lt;&gt;"HEAT","централизованной ","")&amp;"системы "&amp;TEMPLATE_SPHERE_RUS</f>
        <v>Наименование централизованной системы водоотведения</v>
      </c>
      <c r="F8" s="2074" t="str">
        <f>IF(TEMPLATE_SPHERE&lt;&gt;"HEAT","Регулируемый вид деятельности","Вид регулируемой деятельности")</f>
        <v>Регулируемый вид деятельности</v>
      </c>
      <c r="G8" s="746"/>
      <c r="H8" s="2113" t="s">
        <v>327</v>
      </c>
      <c r="I8" s="2117" t="s">
        <v>328</v>
      </c>
      <c r="J8" s="2074" t="s">
        <v>329</v>
      </c>
      <c r="K8" s="2074"/>
      <c r="L8" s="2074"/>
      <c r="M8" s="2112"/>
      <c r="N8" s="2074" t="s">
        <v>330</v>
      </c>
      <c r="O8" s="2074"/>
      <c r="P8" s="2074" t="s">
        <v>331</v>
      </c>
      <c r="Q8" s="2074"/>
      <c r="R8" s="2115" t="s">
        <v>332</v>
      </c>
      <c r="S8" s="742"/>
      <c r="T8" s="2113" t="s">
        <v>333</v>
      </c>
      <c r="U8" s="2113" t="s">
        <v>334</v>
      </c>
      <c r="V8" s="2113" t="s">
        <v>335</v>
      </c>
      <c r="W8" s="744"/>
      <c r="X8" s="2113" t="s">
        <v>336</v>
      </c>
      <c r="Y8" s="2113" t="s">
        <v>337</v>
      </c>
      <c r="Z8" s="2113" t="s">
        <v>338</v>
      </c>
      <c r="AA8" s="744"/>
      <c r="AB8" s="2113" t="s">
        <v>339</v>
      </c>
      <c r="AC8" s="2113" t="s">
        <v>332</v>
      </c>
      <c r="AD8" s="744"/>
      <c r="AE8" s="2074"/>
      <c r="AF8" s="2074"/>
      <c r="AG8" s="2074"/>
      <c r="AH8" s="2074"/>
    </row>
    <row r="9" spans="1:45" ht="43.5" customHeight="1">
      <c r="C9" s="380"/>
      <c r="D9" s="2019"/>
      <c r="E9" s="2074"/>
      <c r="F9" s="2074"/>
      <c r="G9" s="747"/>
      <c r="H9" s="2114"/>
      <c r="I9" s="2118"/>
      <c r="J9" s="357" t="s">
        <v>340</v>
      </c>
      <c r="K9" s="357" t="s">
        <v>341</v>
      </c>
      <c r="L9" s="357" t="s">
        <v>342</v>
      </c>
      <c r="M9" s="362" t="s">
        <v>343</v>
      </c>
      <c r="N9" s="357" t="s">
        <v>344</v>
      </c>
      <c r="O9" s="357" t="s">
        <v>343</v>
      </c>
      <c r="P9" s="357" t="s">
        <v>345</v>
      </c>
      <c r="Q9" s="357" t="s">
        <v>343</v>
      </c>
      <c r="R9" s="2116"/>
      <c r="S9" s="743"/>
      <c r="T9" s="2114"/>
      <c r="U9" s="2114"/>
      <c r="V9" s="2114"/>
      <c r="W9" s="745"/>
      <c r="X9" s="2114"/>
      <c r="Y9" s="2114"/>
      <c r="Z9" s="2114"/>
      <c r="AA9" s="745"/>
      <c r="AB9" s="2114"/>
      <c r="AC9" s="2114"/>
      <c r="AD9" s="745"/>
      <c r="AE9" s="2074"/>
      <c r="AF9" s="2074"/>
      <c r="AG9" s="2074"/>
      <c r="AH9" s="2074"/>
    </row>
    <row r="10" spans="1:45" ht="12" hidden="1" customHeight="1">
      <c r="C10" s="412"/>
      <c r="D10" s="379"/>
      <c r="E10" s="379"/>
      <c r="F10" s="379"/>
      <c r="G10" s="379"/>
      <c r="H10" s="379"/>
      <c r="I10" s="379"/>
      <c r="J10" s="379"/>
      <c r="K10" s="379"/>
      <c r="L10" s="379"/>
      <c r="M10" s="379"/>
      <c r="N10" s="379"/>
      <c r="O10" s="379"/>
      <c r="P10" s="379"/>
      <c r="Q10" s="379"/>
      <c r="R10" s="379"/>
      <c r="S10" s="379"/>
      <c r="T10" s="379"/>
      <c r="U10" s="379"/>
      <c r="V10" s="379"/>
      <c r="W10" s="379"/>
      <c r="X10" s="379"/>
      <c r="Y10" s="379"/>
      <c r="Z10" s="379"/>
      <c r="AA10" s="379"/>
      <c r="AB10" s="379"/>
      <c r="AC10" s="379"/>
      <c r="AD10" s="379"/>
      <c r="AE10" s="379"/>
      <c r="AF10" s="379"/>
      <c r="AG10" s="379"/>
      <c r="AH10" s="379"/>
      <c r="AI10" s="378"/>
      <c r="AP10" s="425"/>
      <c r="AQ10" s="425"/>
    </row>
    <row r="11" spans="1:45" s="1810" customFormat="1" ht="11.25" hidden="1" customHeight="1">
      <c r="C11" s="423"/>
      <c r="D11" s="424" t="s">
        <v>346</v>
      </c>
      <c r="E11" s="424"/>
      <c r="F11" s="424"/>
      <c r="G11" s="424"/>
      <c r="H11" s="422"/>
      <c r="I11" s="422"/>
      <c r="J11" s="422"/>
      <c r="K11" s="422"/>
      <c r="L11" s="422"/>
      <c r="M11" s="422"/>
      <c r="N11" s="422"/>
      <c r="O11" s="422"/>
      <c r="P11" s="422"/>
      <c r="Q11" s="422"/>
      <c r="R11" s="422"/>
      <c r="S11" s="422"/>
      <c r="T11" s="422"/>
      <c r="U11" s="422"/>
      <c r="V11" s="422"/>
      <c r="W11" s="422"/>
      <c r="X11" s="422"/>
      <c r="Y11" s="422"/>
      <c r="Z11" s="422"/>
      <c r="AA11" s="422"/>
      <c r="AB11" s="422"/>
      <c r="AC11" s="422"/>
      <c r="AD11" s="422"/>
      <c r="AE11" s="366"/>
      <c r="AF11" s="366"/>
      <c r="AG11" s="366"/>
      <c r="AH11" s="366"/>
      <c r="AJ11" s="414"/>
      <c r="AK11" s="414"/>
      <c r="AL11" s="414"/>
      <c r="AM11" s="414"/>
      <c r="AN11" s="414"/>
      <c r="AO11" s="414"/>
      <c r="AP11" s="414"/>
      <c r="AQ11" s="414"/>
      <c r="AR11" s="414"/>
      <c r="AS11" s="414"/>
    </row>
    <row r="12" spans="1:45" ht="14.25" customHeight="1">
      <c r="A12" s="378"/>
      <c r="C12" s="380"/>
      <c r="D12" s="365" t="s">
        <v>91</v>
      </c>
      <c r="E12" s="1689" t="s">
        <v>18</v>
      </c>
      <c r="F12" s="769"/>
      <c r="G12" s="770"/>
      <c r="H12" s="1690"/>
      <c r="I12" s="1690"/>
      <c r="J12" s="364"/>
      <c r="K12" s="1775"/>
      <c r="L12" s="363"/>
      <c r="M12" s="1775"/>
      <c r="N12" s="364"/>
      <c r="O12" s="1775"/>
      <c r="P12" s="364"/>
      <c r="Q12" s="1775"/>
      <c r="R12" s="364"/>
      <c r="S12" s="768"/>
      <c r="T12" s="1690"/>
      <c r="U12" s="364"/>
      <c r="V12" s="364"/>
      <c r="W12" s="745"/>
      <c r="X12" s="1690"/>
      <c r="Y12" s="364"/>
      <c r="Z12" s="364"/>
      <c r="AA12" s="745"/>
      <c r="AB12" s="1690"/>
      <c r="AC12" s="364"/>
      <c r="AD12" s="745"/>
      <c r="AE12" s="2119" t="s">
        <v>347</v>
      </c>
      <c r="AF12" s="2119" t="s">
        <v>348</v>
      </c>
      <c r="AG12" s="2119" t="s">
        <v>349</v>
      </c>
      <c r="AH12" s="2119" t="s">
        <v>350</v>
      </c>
      <c r="AI12" s="378"/>
      <c r="AM12" s="436"/>
      <c r="AP12" s="425" t="s">
        <v>351</v>
      </c>
      <c r="AQ12" s="425" t="s">
        <v>351</v>
      </c>
    </row>
    <row r="13" spans="1:45" ht="17.25" customHeight="1">
      <c r="A13" s="378"/>
      <c r="C13" s="380"/>
      <c r="D13" s="338"/>
      <c r="E13" s="783" t="str">
        <f>IF(TITLE_DIFFERENTIATION_TYPE="нет","","Добавить систему")</f>
        <v/>
      </c>
      <c r="F13" s="783" t="str">
        <f>IF(TITLE_DIFFERENTIATION_TYPE="нет","Добавить вид деятельности","")</f>
        <v>Добавить вид деятельности</v>
      </c>
      <c r="G13" s="232"/>
      <c r="H13" s="339"/>
      <c r="I13" s="339"/>
      <c r="J13" s="339"/>
      <c r="K13" s="339"/>
      <c r="L13" s="339"/>
      <c r="M13" s="339"/>
      <c r="N13" s="339"/>
      <c r="O13" s="339"/>
      <c r="P13" s="339"/>
      <c r="Q13" s="339"/>
      <c r="R13" s="339"/>
      <c r="S13" s="339"/>
      <c r="T13" s="339"/>
      <c r="U13" s="339"/>
      <c r="V13" s="339"/>
      <c r="W13" s="339"/>
      <c r="X13" s="339"/>
      <c r="Y13" s="339"/>
      <c r="Z13" s="339"/>
      <c r="AA13" s="339"/>
      <c r="AB13" s="339"/>
      <c r="AC13" s="339"/>
      <c r="AD13" s="771"/>
      <c r="AE13" s="2120"/>
      <c r="AF13" s="2120"/>
      <c r="AG13" s="2120"/>
      <c r="AH13" s="2120"/>
      <c r="AI13" s="378"/>
    </row>
    <row r="14" spans="1:45" ht="14.25" customHeight="1">
      <c r="AI14" s="378"/>
    </row>
    <row r="15" spans="1:45" ht="14.25" customHeight="1">
      <c r="E15" s="676"/>
      <c r="L15" s="676"/>
    </row>
    <row r="16" spans="1:45" ht="14.25" customHeight="1">
      <c r="L16" s="676"/>
    </row>
    <row r="17" spans="12:12" ht="14.25" customHeight="1">
      <c r="L17" s="676"/>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U17"/>
  <sheetViews>
    <sheetView showGridLines="0" topLeftCell="C5" zoomScale="90" workbookViewId="0"/>
  </sheetViews>
  <sheetFormatPr defaultColWidth="10.5703125" defaultRowHeight="14.25" customHeight="1"/>
  <cols>
    <col min="1" max="1" width="9.140625" style="1880" hidden="1" customWidth="1"/>
    <col min="2" max="2" width="9.140625" style="1879" hidden="1" customWidth="1"/>
    <col min="3" max="3" width="3.7109375" style="1872" customWidth="1"/>
    <col min="4" max="4" width="5.5703125" style="1879" customWidth="1"/>
    <col min="5" max="5" width="38.140625" style="1879" customWidth="1"/>
    <col min="6" max="7" width="3.7109375" style="1879" customWidth="1"/>
    <col min="8" max="8" width="38.28515625" style="1879" customWidth="1"/>
    <col min="9" max="9" width="35.7109375" style="1879" customWidth="1"/>
    <col min="10" max="10" width="103.7109375" style="1879" customWidth="1"/>
    <col min="11" max="11" width="3.7109375" style="1857" customWidth="1"/>
    <col min="12" max="14" width="10.5703125" style="1877"/>
    <col min="15" max="15" width="13.7109375" style="1877" customWidth="1"/>
    <col min="16" max="16" width="15.42578125" style="1877" customWidth="1"/>
    <col min="17" max="17" width="16.28515625" style="1877" customWidth="1"/>
    <col min="18" max="21" width="10.5703125" style="1877"/>
  </cols>
  <sheetData>
    <row r="1" spans="1:21" ht="14.25" hidden="1" customHeight="1">
      <c r="E1" s="345"/>
      <c r="F1" s="345"/>
      <c r="G1" s="345"/>
      <c r="H1" s="2124" t="s">
        <v>322</v>
      </c>
      <c r="I1" s="2124"/>
    </row>
    <row r="2" spans="1:21" s="1875" customFormat="1" ht="14.25" hidden="1" customHeight="1">
      <c r="C2" s="1533"/>
      <c r="D2" s="2128" t="s">
        <v>91</v>
      </c>
      <c r="E2" s="2130"/>
      <c r="F2" s="1539"/>
      <c r="G2" s="1534" t="s">
        <v>91</v>
      </c>
      <c r="H2" s="1537"/>
      <c r="I2" s="1535"/>
      <c r="L2" s="1536"/>
      <c r="M2" s="1536"/>
      <c r="N2" s="1536"/>
      <c r="O2" s="1536" t="s">
        <v>352</v>
      </c>
      <c r="P2" s="1536"/>
      <c r="Q2" s="1536"/>
      <c r="R2" s="1538" t="s">
        <v>351</v>
      </c>
      <c r="S2" s="1538" t="s">
        <v>351</v>
      </c>
      <c r="T2" s="1536"/>
      <c r="U2" s="1536"/>
    </row>
    <row r="3" spans="1:21" s="1875" customFormat="1" ht="14.25" hidden="1" customHeight="1">
      <c r="C3" s="1533"/>
      <c r="D3" s="2129"/>
      <c r="E3" s="2131"/>
      <c r="F3" s="338"/>
      <c r="G3" s="783"/>
      <c r="H3" s="783" t="s">
        <v>353</v>
      </c>
      <c r="I3" s="232"/>
      <c r="L3" s="1536"/>
      <c r="M3" s="1536"/>
      <c r="N3" s="1536"/>
      <c r="O3" s="1536"/>
      <c r="P3" s="1536"/>
      <c r="Q3" s="1536"/>
      <c r="R3" s="1538"/>
      <c r="S3" s="1538"/>
      <c r="T3" s="1536"/>
      <c r="U3" s="1536"/>
    </row>
    <row r="4" spans="1:21" ht="14.25" hidden="1" customHeight="1"/>
    <row r="5" spans="1:21" s="1876" customFormat="1" ht="6" customHeight="1">
      <c r="C5" s="619"/>
      <c r="D5" s="620"/>
      <c r="E5" s="620"/>
      <c r="F5" s="620"/>
      <c r="G5" s="620"/>
      <c r="H5" s="620" t="s">
        <v>326</v>
      </c>
      <c r="I5" s="620"/>
      <c r="J5" s="620"/>
      <c r="L5" s="1529"/>
      <c r="M5" s="1529"/>
      <c r="N5" s="1529"/>
      <c r="O5" s="1529"/>
      <c r="P5" s="1529"/>
      <c r="Q5" s="1529"/>
      <c r="R5" s="1529"/>
      <c r="S5" s="1529"/>
      <c r="T5" s="1529"/>
      <c r="U5" s="1529"/>
    </row>
    <row r="6" spans="1:21" ht="27.75" customHeight="1">
      <c r="C6" s="1428"/>
      <c r="D6" s="2127" t="s">
        <v>354</v>
      </c>
      <c r="E6" s="2127"/>
      <c r="F6" s="2127"/>
      <c r="G6" s="2127"/>
      <c r="H6" s="2127"/>
      <c r="I6" s="2127"/>
      <c r="J6" s="416"/>
      <c r="K6" s="1530"/>
    </row>
    <row r="7" spans="1:21" ht="17.25" customHeight="1">
      <c r="C7" s="1428"/>
      <c r="D7" s="2098" t="str">
        <f>IF(org=0,"Не определено",org)</f>
        <v>ООО "Горводоканал"</v>
      </c>
      <c r="E7" s="2098"/>
      <c r="F7" s="2098"/>
      <c r="G7" s="2098"/>
      <c r="H7" s="2098"/>
      <c r="I7" s="2098"/>
      <c r="J7" s="416"/>
      <c r="K7" s="1530"/>
    </row>
    <row r="8" spans="1:21" s="1878" customFormat="1" ht="6" customHeight="1">
      <c r="A8" s="1528"/>
      <c r="C8" s="411"/>
      <c r="D8" s="410"/>
      <c r="E8" s="410"/>
      <c r="F8" s="410"/>
      <c r="G8" s="410"/>
      <c r="H8" s="410"/>
      <c r="I8" s="410"/>
      <c r="J8" s="410"/>
      <c r="L8" s="1529"/>
      <c r="M8" s="1529"/>
      <c r="N8" s="1529"/>
      <c r="O8" s="1529"/>
      <c r="P8" s="1529"/>
      <c r="Q8" s="1529"/>
      <c r="R8" s="1529"/>
      <c r="S8" s="1529"/>
      <c r="T8" s="1529"/>
      <c r="U8" s="1529"/>
    </row>
    <row r="9" spans="1:21" s="1878" customFormat="1" ht="6" customHeight="1">
      <c r="A9" s="1528"/>
      <c r="C9" s="411"/>
      <c r="D9" s="410"/>
      <c r="E9" s="410"/>
      <c r="F9" s="410"/>
      <c r="G9" s="410"/>
      <c r="H9" s="410"/>
      <c r="I9" s="410"/>
      <c r="J9" s="410"/>
      <c r="L9" s="1536"/>
      <c r="M9" s="1536"/>
      <c r="N9" s="1536"/>
      <c r="O9" s="1536"/>
      <c r="P9" s="1536"/>
      <c r="Q9" s="1536"/>
      <c r="R9" s="1536"/>
      <c r="S9" s="1536"/>
      <c r="T9" s="1536"/>
      <c r="U9" s="1536"/>
    </row>
    <row r="10" spans="1:21" ht="14.25" customHeight="1">
      <c r="C10" s="1428"/>
      <c r="D10" s="2112" t="s">
        <v>268</v>
      </c>
      <c r="E10" s="2125"/>
      <c r="F10" s="2125"/>
      <c r="G10" s="2125"/>
      <c r="H10" s="2125"/>
      <c r="I10" s="2125"/>
      <c r="J10" s="2074" t="s">
        <v>269</v>
      </c>
    </row>
    <row r="11" spans="1:21" ht="25.5" customHeight="1">
      <c r="C11" s="1428"/>
      <c r="D11" s="2019" t="s">
        <v>73</v>
      </c>
      <c r="E11" s="2074" t="str">
        <f>IF(TEMPLATE_SPHERE&lt;&gt;"HEAT","Регулируемый вид деятельности","Вид регулируемой деятельности")</f>
        <v>Регулируемый вид деятельности</v>
      </c>
      <c r="F11" s="2077" t="s">
        <v>73</v>
      </c>
      <c r="G11" s="2078"/>
      <c r="H11" s="2076" t="s">
        <v>355</v>
      </c>
      <c r="I11" s="2076" t="s">
        <v>356</v>
      </c>
      <c r="J11" s="2074"/>
    </row>
    <row r="12" spans="1:21" ht="14.25" customHeight="1">
      <c r="C12" s="1428"/>
      <c r="D12" s="2019"/>
      <c r="E12" s="2074"/>
      <c r="F12" s="2082"/>
      <c r="G12" s="2083"/>
      <c r="H12" s="2132"/>
      <c r="I12" s="2132"/>
      <c r="J12" s="2074"/>
    </row>
    <row r="13" spans="1:21" s="1810" customFormat="1" ht="11.25" hidden="1" customHeight="1">
      <c r="C13" s="423"/>
      <c r="D13" s="424" t="s">
        <v>346</v>
      </c>
      <c r="E13" s="424"/>
      <c r="F13" s="424"/>
      <c r="G13" s="424"/>
      <c r="H13" s="422"/>
      <c r="I13" s="422"/>
      <c r="J13" s="366"/>
      <c r="L13" s="1529"/>
      <c r="M13" s="1529"/>
      <c r="N13" s="1529"/>
      <c r="O13" s="1529"/>
      <c r="P13" s="1529"/>
      <c r="Q13" s="1529"/>
      <c r="R13" s="1529"/>
      <c r="S13" s="1529"/>
      <c r="T13" s="1529"/>
      <c r="U13" s="1529"/>
    </row>
    <row r="14" spans="1:21" ht="14.25" customHeight="1">
      <c r="A14" s="1526"/>
      <c r="C14" s="1428"/>
      <c r="D14" s="2128" t="s">
        <v>91</v>
      </c>
      <c r="E14" s="2130"/>
      <c r="F14" s="1532"/>
      <c r="G14" s="1531" t="s">
        <v>91</v>
      </c>
      <c r="H14" s="1537"/>
      <c r="I14" s="1535"/>
      <c r="J14" s="2063" t="s">
        <v>357</v>
      </c>
      <c r="K14" s="1526"/>
      <c r="R14" s="425" t="s">
        <v>351</v>
      </c>
      <c r="S14" s="425" t="s">
        <v>351</v>
      </c>
    </row>
    <row r="15" spans="1:21" ht="14.25" customHeight="1">
      <c r="A15" s="1526"/>
      <c r="C15" s="1428"/>
      <c r="D15" s="2129"/>
      <c r="E15" s="2131"/>
      <c r="F15" s="338"/>
      <c r="G15" s="783"/>
      <c r="H15" s="783" t="s">
        <v>353</v>
      </c>
      <c r="I15" s="232"/>
      <c r="J15" s="2064"/>
      <c r="K15" s="1526"/>
      <c r="R15" s="425"/>
      <c r="S15" s="425"/>
    </row>
    <row r="16" spans="1:21" ht="14.25" customHeight="1">
      <c r="A16" s="1526"/>
      <c r="C16" s="1428"/>
      <c r="D16" s="338"/>
      <c r="E16" s="783" t="s">
        <v>103</v>
      </c>
      <c r="F16" s="232"/>
      <c r="G16" s="232"/>
      <c r="H16" s="339"/>
      <c r="I16" s="339"/>
      <c r="J16" s="2065"/>
      <c r="K16" s="1526"/>
    </row>
    <row r="17" spans="11:11" ht="14.25" customHeight="1">
      <c r="K17" s="1526"/>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D3" zoomScale="90" workbookViewId="0"/>
  </sheetViews>
  <sheetFormatPr defaultColWidth="10.5703125" defaultRowHeight="14.25" customHeight="1"/>
  <cols>
    <col min="1" max="1" width="9.140625" style="1871" hidden="1" customWidth="1"/>
    <col min="2" max="2" width="9.140625" style="1870" hidden="1" customWidth="1"/>
    <col min="3" max="3" width="9.140625" style="1814" hidden="1" customWidth="1"/>
    <col min="4" max="4" width="3.7109375" style="1872" customWidth="1"/>
    <col min="5" max="5" width="6.28515625" style="1870" customWidth="1"/>
    <col min="6" max="6" width="1.7109375" style="1814" hidden="1" customWidth="1"/>
    <col min="7" max="8" width="30.7109375" style="1870" customWidth="1"/>
    <col min="9" max="9" width="9" style="1870" customWidth="1"/>
    <col min="10" max="10" width="12.140625" style="1870" customWidth="1"/>
    <col min="11" max="11" width="46.7109375" style="1870" customWidth="1"/>
    <col min="12" max="12" width="100.28515625" style="1870" customWidth="1"/>
    <col min="13" max="13" width="7.5703125" style="1874" customWidth="1"/>
    <col min="14" max="22" width="10.5703125" style="1870"/>
  </cols>
  <sheetData>
    <row r="1" spans="1:22" s="1869" customFormat="1" ht="5.25" hidden="1" customHeight="1">
      <c r="C1" s="436"/>
      <c r="D1" s="419"/>
      <c r="F1" s="436"/>
      <c r="G1" s="414" t="s">
        <v>68</v>
      </c>
      <c r="H1" s="414" t="s">
        <v>69</v>
      </c>
      <c r="I1" s="414" t="s">
        <v>70</v>
      </c>
      <c r="P1" s="414" t="s">
        <v>68</v>
      </c>
      <c r="Q1" s="414" t="s">
        <v>69</v>
      </c>
      <c r="R1" s="414" t="s">
        <v>70</v>
      </c>
    </row>
    <row r="2" spans="1:22" s="1869" customFormat="1" ht="5.25" hidden="1" customHeight="1">
      <c r="C2" s="436"/>
      <c r="D2" s="419"/>
      <c r="F2" s="436"/>
    </row>
    <row r="3" spans="1:22" s="1868" customFormat="1" ht="6" customHeight="1">
      <c r="A3" s="404"/>
      <c r="D3" s="411"/>
      <c r="E3" s="406"/>
      <c r="F3" s="406"/>
      <c r="G3" s="406"/>
      <c r="H3" s="406"/>
      <c r="I3" s="407"/>
      <c r="J3" s="408"/>
      <c r="K3" s="408"/>
      <c r="L3" s="408"/>
    </row>
    <row r="4" spans="1:22" ht="22.5" customHeight="1">
      <c r="D4" s="380"/>
      <c r="E4" s="2012" t="s">
        <v>358</v>
      </c>
      <c r="F4" s="2012"/>
      <c r="G4" s="2013"/>
      <c r="H4" s="2013"/>
      <c r="I4" s="2014"/>
      <c r="J4" s="416"/>
      <c r="K4" s="382"/>
      <c r="L4" s="382"/>
    </row>
    <row r="5" spans="1:22" s="1814" customFormat="1" ht="17.25" customHeight="1">
      <c r="A5" s="677"/>
      <c r="D5" s="740"/>
      <c r="E5" s="2121" t="str">
        <f>IF(org=0,"Не определено",org)</f>
        <v>ООО "Горводоканал"</v>
      </c>
      <c r="F5" s="2121"/>
      <c r="G5" s="2122"/>
      <c r="H5" s="2122"/>
      <c r="I5" s="2123"/>
      <c r="J5" s="416"/>
      <c r="K5" s="382"/>
      <c r="L5" s="382"/>
      <c r="M5" s="432"/>
    </row>
    <row r="6" spans="1:22" s="1868" customFormat="1" ht="11.25" customHeight="1">
      <c r="A6" s="404"/>
      <c r="D6" s="411"/>
      <c r="E6" s="406"/>
      <c r="F6" s="406"/>
      <c r="G6" s="409"/>
      <c r="H6" s="409"/>
      <c r="I6" s="410"/>
      <c r="J6" s="410"/>
      <c r="K6" s="670"/>
      <c r="L6" s="410"/>
    </row>
    <row r="7" spans="1:22" ht="14.25" customHeight="1">
      <c r="D7" s="380"/>
      <c r="E7" s="2106" t="s">
        <v>268</v>
      </c>
      <c r="F7" s="2106"/>
      <c r="G7" s="2107"/>
      <c r="H7" s="2107"/>
      <c r="I7" s="2107"/>
      <c r="J7" s="2107"/>
      <c r="K7" s="2107"/>
      <c r="L7" s="2074" t="s">
        <v>269</v>
      </c>
    </row>
    <row r="8" spans="1:22" ht="45" customHeight="1">
      <c r="D8" s="380"/>
      <c r="E8" s="399" t="s">
        <v>73</v>
      </c>
      <c r="F8" s="741"/>
      <c r="G8" s="391" t="s">
        <v>71</v>
      </c>
      <c r="H8" s="391" t="s">
        <v>72</v>
      </c>
      <c r="I8" s="347" t="s">
        <v>70</v>
      </c>
      <c r="J8" s="347" t="s">
        <v>359</v>
      </c>
      <c r="K8" s="347" t="s">
        <v>360</v>
      </c>
      <c r="L8" s="2074"/>
    </row>
    <row r="9" spans="1:22" ht="12" hidden="1" customHeight="1">
      <c r="D9" s="412"/>
      <c r="E9" s="418"/>
      <c r="F9" s="748"/>
      <c r="G9" s="418"/>
      <c r="H9" s="418"/>
      <c r="I9" s="418"/>
      <c r="J9" s="418"/>
      <c r="K9" s="418"/>
      <c r="L9" s="418"/>
      <c r="M9" s="378"/>
    </row>
    <row r="10" spans="1:22" ht="14.25" hidden="1" customHeight="1">
      <c r="A10" s="430"/>
      <c r="B10" s="430"/>
      <c r="D10" s="431"/>
      <c r="E10" s="437">
        <v>0</v>
      </c>
      <c r="F10" s="739"/>
      <c r="G10" s="433"/>
      <c r="H10" s="433"/>
      <c r="I10" s="433"/>
      <c r="J10" s="433"/>
      <c r="K10" s="433"/>
      <c r="L10" s="2119" t="s">
        <v>361</v>
      </c>
      <c r="M10" s="432"/>
      <c r="N10" s="430"/>
      <c r="O10" s="430"/>
      <c r="P10" s="430"/>
      <c r="Q10" s="430"/>
      <c r="R10" s="430"/>
      <c r="S10" s="430"/>
      <c r="T10" s="430"/>
      <c r="U10" s="430"/>
      <c r="V10" s="430"/>
    </row>
    <row r="11" spans="1:22" ht="15" hidden="1" customHeight="1">
      <c r="A11" s="2004"/>
      <c r="B11" s="429"/>
      <c r="C11" s="429"/>
      <c r="D11" s="779"/>
      <c r="E11" s="438"/>
      <c r="F11" s="438"/>
      <c r="G11" s="438"/>
      <c r="H11" s="438"/>
      <c r="I11" s="439"/>
      <c r="J11" s="440"/>
      <c r="K11" s="631"/>
      <c r="L11" s="2133"/>
      <c r="M11" s="436"/>
      <c r="N11" s="436"/>
      <c r="O11" s="436"/>
      <c r="P11" s="441"/>
      <c r="Q11" s="441"/>
      <c r="R11" s="442"/>
      <c r="S11" s="436"/>
      <c r="T11" s="436"/>
      <c r="U11" s="436"/>
      <c r="V11" s="436"/>
    </row>
    <row r="12" spans="1:22" s="1868" customFormat="1" ht="14.25" customHeight="1">
      <c r="A12" s="2004"/>
      <c r="B12" s="429"/>
      <c r="C12" s="429"/>
      <c r="D12" s="780"/>
      <c r="E12" s="741">
        <v>1</v>
      </c>
      <c r="F12" s="778">
        <v>23</v>
      </c>
      <c r="G12" s="777"/>
      <c r="H12" s="711"/>
      <c r="I12" s="709"/>
      <c r="J12" s="445" t="s">
        <v>50</v>
      </c>
      <c r="K12" s="1066" t="s">
        <v>18</v>
      </c>
      <c r="L12" s="2133"/>
      <c r="M12" s="436"/>
      <c r="N12" s="436"/>
      <c r="O12" s="436"/>
      <c r="P12" s="441" t="s">
        <v>362</v>
      </c>
      <c r="Q12" s="441" t="s">
        <v>363</v>
      </c>
      <c r="R12" s="442" t="s">
        <v>364</v>
      </c>
      <c r="S12" s="436" t="s">
        <v>365</v>
      </c>
      <c r="T12" s="436"/>
      <c r="U12" s="436"/>
      <c r="V12" s="436"/>
    </row>
    <row r="13" spans="1:22" ht="15" customHeight="1">
      <c r="A13" s="2004"/>
      <c r="B13" s="430"/>
      <c r="D13" s="431"/>
      <c r="E13" s="338"/>
      <c r="F13" s="454"/>
      <c r="G13" s="349" t="s">
        <v>84</v>
      </c>
      <c r="H13" s="337"/>
      <c r="I13" s="337"/>
      <c r="J13" s="337"/>
      <c r="K13" s="336"/>
      <c r="L13" s="2120"/>
      <c r="M13" s="434"/>
      <c r="N13" s="430"/>
      <c r="O13" s="430"/>
      <c r="P13" s="430"/>
      <c r="Q13" s="430"/>
      <c r="R13" s="430"/>
      <c r="S13" s="430"/>
      <c r="T13" s="430"/>
      <c r="U13" s="430"/>
      <c r="V13" s="430"/>
    </row>
    <row r="14" spans="1:22" ht="11.25" customHeight="1">
      <c r="A14" s="404"/>
      <c r="B14" s="405"/>
      <c r="C14" s="405"/>
      <c r="D14" s="420"/>
      <c r="E14" s="405"/>
      <c r="F14" s="405"/>
      <c r="G14" s="405"/>
      <c r="H14" s="405"/>
      <c r="I14" s="405"/>
      <c r="J14" s="405"/>
      <c r="K14" s="405"/>
      <c r="L14" s="405"/>
      <c r="M14" s="405"/>
      <c r="N14" s="405"/>
      <c r="O14" s="405"/>
      <c r="P14" s="405"/>
      <c r="Q14" s="405"/>
      <c r="R14" s="405"/>
      <c r="S14" s="405"/>
      <c r="T14" s="405"/>
      <c r="U14" s="405"/>
      <c r="V14" s="405"/>
    </row>
    <row r="15" spans="1:22" ht="14.25" customHeight="1">
      <c r="D15" s="392"/>
      <c r="E15" s="261"/>
      <c r="F15" s="261"/>
      <c r="G15" s="58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392"/>
      <c r="I15" s="392"/>
      <c r="J15" s="392"/>
      <c r="K15" s="392"/>
      <c r="L15" s="392"/>
    </row>
    <row r="18" spans="7:7" ht="14.25" customHeight="1">
      <c r="G18" s="430"/>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9" customWidth="1"/>
    <col min="17" max="18" width="3.7109375" style="1890" customWidth="1"/>
    <col min="19" max="19" width="12.7109375" style="1891" customWidth="1"/>
    <col min="20" max="20" width="35.7109375"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6">
        <v>1</v>
      </c>
      <c r="F2" s="1281"/>
      <c r="G2" s="1281"/>
      <c r="H2" s="1281"/>
      <c r="I2" s="1281"/>
      <c r="J2" s="1281"/>
      <c r="K2" s="1281"/>
      <c r="L2" s="1282"/>
      <c r="M2" s="1283"/>
      <c r="N2" s="1283"/>
      <c r="O2" s="1283"/>
      <c r="P2" s="285"/>
      <c r="Q2" s="284"/>
      <c r="R2" s="279"/>
      <c r="S2" s="1229" t="e">
        <f>INDEX(PT_DIFFERENTIATION_NUM_NTAR,MATCH(A2,PT_DIFFERENTIATION_NTAR_ID,0))</f>
        <v>#N/A</v>
      </c>
      <c r="T2" s="215" t="s">
        <v>105</v>
      </c>
      <c r="U2" s="217"/>
      <c r="V2" s="2140"/>
      <c r="W2" s="2141"/>
      <c r="X2" s="2141"/>
      <c r="Y2" s="2141"/>
      <c r="Z2" s="2141"/>
      <c r="AA2" s="2141"/>
      <c r="AB2" s="2141"/>
      <c r="AC2" s="2142"/>
      <c r="AD2" s="2140" t="e">
        <f>INDEX(PT_DIFFERENTIATION_NTAR,MATCH(A2,PT_DIFFERENTIATION_NTAR_ID,0))</f>
        <v>#N/A</v>
      </c>
      <c r="AE2" s="2141"/>
      <c r="AF2" s="2141"/>
      <c r="AG2" s="2141"/>
      <c r="AH2" s="2141"/>
      <c r="AI2" s="2141"/>
      <c r="AJ2" s="2141"/>
      <c r="AK2" s="2141"/>
      <c r="AL2" s="2142"/>
      <c r="AM2" s="1179" t="s">
        <v>366</v>
      </c>
      <c r="AO2" s="425"/>
      <c r="AP2" s="425" t="str">
        <f t="shared" ref="AP2:AP15" si="0">IF(T2="","",T2)</f>
        <v>Наименование тарифа</v>
      </c>
      <c r="AQ2" s="425"/>
      <c r="AR2" s="425"/>
    </row>
    <row r="3" spans="1:44" ht="21" hidden="1" customHeight="1">
      <c r="A3" s="1281"/>
      <c r="B3" s="1281"/>
      <c r="C3" s="1281"/>
      <c r="D3" s="1281"/>
      <c r="E3" s="2147"/>
      <c r="F3" s="2146">
        <v>1</v>
      </c>
      <c r="G3" s="1281"/>
      <c r="H3" s="1281"/>
      <c r="I3" s="1281"/>
      <c r="J3" s="1281"/>
      <c r="K3" s="1281"/>
      <c r="L3" s="1282"/>
      <c r="M3" s="1283"/>
      <c r="N3" s="1283"/>
      <c r="O3" s="1283"/>
      <c r="P3" s="1225"/>
      <c r="Q3" s="276"/>
      <c r="R3" s="277"/>
      <c r="S3" s="1229" t="e">
        <f>INDEX(PT_DIFFERENTIATION_NUM_TER,MATCH(B3,PT_DIFFERENTIATION_TER_ID,0))</f>
        <v>#N/A</v>
      </c>
      <c r="T3" s="227" t="s">
        <v>367</v>
      </c>
      <c r="U3" s="217"/>
      <c r="V3" s="2140"/>
      <c r="W3" s="2141"/>
      <c r="X3" s="2141"/>
      <c r="Y3" s="2141"/>
      <c r="Z3" s="2141"/>
      <c r="AA3" s="2141"/>
      <c r="AB3" s="2141"/>
      <c r="AC3" s="2142"/>
      <c r="AD3" s="2140" t="e">
        <f>INDEX(PT_DIFFERENTIATION_TER,MATCH(B3,PT_DIFFERENTIATION_TER_ID,0))</f>
        <v>#N/A</v>
      </c>
      <c r="AE3" s="2141"/>
      <c r="AF3" s="2141"/>
      <c r="AG3" s="2141"/>
      <c r="AH3" s="2141"/>
      <c r="AI3" s="2141"/>
      <c r="AJ3" s="2141"/>
      <c r="AK3" s="2141"/>
      <c r="AL3" s="2142"/>
      <c r="AM3" s="1179" t="s">
        <v>368</v>
      </c>
      <c r="AO3" s="425"/>
      <c r="AP3" s="425" t="str">
        <f t="shared" si="0"/>
        <v>Территория действия тарифа</v>
      </c>
      <c r="AQ3" s="425"/>
      <c r="AR3" s="425"/>
    </row>
    <row r="4" spans="1:44" ht="23.25" hidden="1" customHeight="1">
      <c r="A4" s="1281"/>
      <c r="B4" s="1281"/>
      <c r="C4" s="1281"/>
      <c r="D4" s="1281"/>
      <c r="E4" s="2147"/>
      <c r="F4" s="2147"/>
      <c r="G4" s="2146">
        <v>1</v>
      </c>
      <c r="H4" s="1281"/>
      <c r="I4" s="1281"/>
      <c r="J4" s="1281"/>
      <c r="K4" s="1281"/>
      <c r="L4" s="1282"/>
      <c r="M4" s="1283"/>
      <c r="N4" s="1283"/>
      <c r="O4" s="1283"/>
      <c r="P4" s="278"/>
      <c r="Q4" s="276"/>
      <c r="R4" s="277"/>
      <c r="S4" s="1229" t="e">
        <f>INDEX(PT_DIFFERENTIATION_NUM_CS,MATCH(C4,PT_DIFFERENTIATION_CS_ID,0))</f>
        <v>#N/A</v>
      </c>
      <c r="T4" s="228" t="s">
        <v>369</v>
      </c>
      <c r="U4" s="217"/>
      <c r="V4" s="2140"/>
      <c r="W4" s="2141"/>
      <c r="X4" s="2141"/>
      <c r="Y4" s="2141"/>
      <c r="Z4" s="2141"/>
      <c r="AA4" s="2141"/>
      <c r="AB4" s="2141"/>
      <c r="AC4" s="2142"/>
      <c r="AD4" s="2140" t="e">
        <f>INDEX(PT_DIFFERENTIATION_CS,MATCH(C4,PT_DIFFERENTIATION_CS_ID,0))</f>
        <v>#N/A</v>
      </c>
      <c r="AE4" s="2141"/>
      <c r="AF4" s="2141"/>
      <c r="AG4" s="2141"/>
      <c r="AH4" s="2141"/>
      <c r="AI4" s="2141"/>
      <c r="AJ4" s="2141"/>
      <c r="AK4" s="2141"/>
      <c r="AL4" s="2142"/>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7"/>
      <c r="F5" s="2147"/>
      <c r="G5" s="2147"/>
      <c r="H5" s="2146">
        <v>1</v>
      </c>
      <c r="I5" s="1281"/>
      <c r="J5" s="1281"/>
      <c r="K5" s="1281"/>
      <c r="L5" s="1282"/>
      <c r="M5" s="1283"/>
      <c r="N5" s="1283"/>
      <c r="O5" s="1283"/>
      <c r="P5" s="278"/>
      <c r="Q5" s="276"/>
      <c r="R5" s="277"/>
      <c r="S5" s="1229" t="e">
        <f>INDEX(PT_DIFFERENTIATION_NUM_IST_TE,MATCH(D5,PT_DIFFERENTIATION_IST_TE_ID,0))</f>
        <v>#N/A</v>
      </c>
      <c r="T5" s="229" t="s">
        <v>371</v>
      </c>
      <c r="U5" s="217"/>
      <c r="V5" s="2140"/>
      <c r="W5" s="2141"/>
      <c r="X5" s="2141"/>
      <c r="Y5" s="2141"/>
      <c r="Z5" s="2141"/>
      <c r="AA5" s="2141"/>
      <c r="AB5" s="2141"/>
      <c r="AC5" s="2142"/>
      <c r="AD5" s="2140" t="e">
        <f>INDEX(PT_DIFFERENTIATION_IST_TE,MATCH(D5,PT_DIFFERENTIATION_IST_TE_ID,0))</f>
        <v>#N/A</v>
      </c>
      <c r="AE5" s="2141"/>
      <c r="AF5" s="2141"/>
      <c r="AG5" s="2141"/>
      <c r="AH5" s="2141"/>
      <c r="AI5" s="2141"/>
      <c r="AJ5" s="2141"/>
      <c r="AK5" s="2141"/>
      <c r="AL5" s="2142"/>
      <c r="AM5" s="1179" t="s">
        <v>372</v>
      </c>
      <c r="AO5" s="425"/>
      <c r="AP5" s="425" t="str">
        <f t="shared" si="0"/>
        <v xml:space="preserve">Источник тепловой энергии  </v>
      </c>
      <c r="AQ5" s="425"/>
      <c r="AR5" s="425"/>
    </row>
    <row r="6" spans="1:44" ht="47.25" hidden="1" customHeight="1">
      <c r="A6" s="1281"/>
      <c r="B6" s="1281"/>
      <c r="C6" s="1281"/>
      <c r="D6" s="1281"/>
      <c r="E6" s="2147"/>
      <c r="F6" s="2147"/>
      <c r="G6" s="2147"/>
      <c r="H6" s="2147"/>
      <c r="I6" s="2148" t="e">
        <f>S5&amp;".1"</f>
        <v>#N/A</v>
      </c>
      <c r="J6" s="1281"/>
      <c r="K6" s="1281"/>
      <c r="L6" s="1282" t="s">
        <v>373</v>
      </c>
      <c r="M6" s="461"/>
      <c r="P6" s="2150">
        <v>1</v>
      </c>
      <c r="Q6" s="1226"/>
      <c r="R6" s="280"/>
      <c r="S6" s="1229" t="e">
        <f>$I6</f>
        <v>#N/A</v>
      </c>
      <c r="T6" s="202" t="s">
        <v>374</v>
      </c>
      <c r="U6" s="217"/>
      <c r="V6" s="2134"/>
      <c r="W6" s="2135"/>
      <c r="X6" s="2135"/>
      <c r="Y6" s="2135"/>
      <c r="Z6" s="2135"/>
      <c r="AA6" s="2135"/>
      <c r="AB6" s="2135"/>
      <c r="AC6" s="2136"/>
      <c r="AD6" s="2134"/>
      <c r="AE6" s="2135"/>
      <c r="AF6" s="2135"/>
      <c r="AG6" s="2135"/>
      <c r="AH6" s="2135"/>
      <c r="AI6" s="2135"/>
      <c r="AJ6" s="2135"/>
      <c r="AK6" s="2135"/>
      <c r="AL6" s="2136"/>
      <c r="AM6" s="1179" t="s">
        <v>375</v>
      </c>
      <c r="AO6" s="425"/>
      <c r="AP6" s="425" t="str">
        <f t="shared" si="0"/>
        <v>Схема подключения теплопотребляющей установки к коллектору источника тепловой энергии</v>
      </c>
      <c r="AQ6" s="425"/>
      <c r="AR6" s="425"/>
    </row>
    <row r="7" spans="1:44" ht="21" hidden="1" customHeight="1">
      <c r="A7" s="1281"/>
      <c r="B7" s="1281"/>
      <c r="C7" s="1281"/>
      <c r="D7" s="1281"/>
      <c r="E7" s="2147"/>
      <c r="F7" s="2147"/>
      <c r="G7" s="2147"/>
      <c r="H7" s="2147"/>
      <c r="I7" s="2149"/>
      <c r="J7" s="2148" t="e">
        <f>I6&amp;".1"</f>
        <v>#N/A</v>
      </c>
      <c r="K7" s="1281"/>
      <c r="L7" s="1282" t="s">
        <v>376</v>
      </c>
      <c r="M7" s="461"/>
      <c r="N7" s="1284"/>
      <c r="P7" s="2150"/>
      <c r="Q7" s="2150">
        <v>1</v>
      </c>
      <c r="R7" s="281"/>
      <c r="S7" s="1229" t="e">
        <f>$J7</f>
        <v>#N/A</v>
      </c>
      <c r="T7" s="203" t="s">
        <v>377</v>
      </c>
      <c r="U7" s="217"/>
      <c r="V7" s="2134"/>
      <c r="W7" s="2135"/>
      <c r="X7" s="2135"/>
      <c r="Y7" s="2135"/>
      <c r="Z7" s="2135"/>
      <c r="AA7" s="2135"/>
      <c r="AB7" s="2135"/>
      <c r="AC7" s="2136"/>
      <c r="AD7" s="2134"/>
      <c r="AE7" s="2135"/>
      <c r="AF7" s="2135"/>
      <c r="AG7" s="2135"/>
      <c r="AH7" s="2135"/>
      <c r="AI7" s="2135"/>
      <c r="AJ7" s="2135"/>
      <c r="AK7" s="2135"/>
      <c r="AL7" s="2136"/>
      <c r="AM7" s="1179" t="s">
        <v>378</v>
      </c>
      <c r="AO7" s="425"/>
      <c r="AP7" s="425" t="str">
        <f t="shared" si="0"/>
        <v>Группа потребителей</v>
      </c>
      <c r="AQ7" s="425"/>
      <c r="AR7" s="425"/>
    </row>
    <row r="8" spans="1:44" ht="21" hidden="1" customHeight="1">
      <c r="A8" s="1281"/>
      <c r="B8" s="1281"/>
      <c r="C8" s="1281"/>
      <c r="D8" s="1281"/>
      <c r="E8" s="2147"/>
      <c r="F8" s="2147"/>
      <c r="G8" s="2147"/>
      <c r="H8" s="2147"/>
      <c r="I8" s="2149"/>
      <c r="J8" s="2149"/>
      <c r="K8" s="2148" t="e">
        <f>J7&amp;".1"</f>
        <v>#N/A</v>
      </c>
      <c r="L8" s="1282" t="s">
        <v>379</v>
      </c>
      <c r="M8" s="461"/>
      <c r="N8" s="1284"/>
      <c r="O8" s="1284"/>
      <c r="P8" s="2150"/>
      <c r="Q8" s="2150"/>
      <c r="R8" s="281">
        <v>1</v>
      </c>
      <c r="S8" s="1229" t="e">
        <f>$K8</f>
        <v>#N/A</v>
      </c>
      <c r="T8" s="1266"/>
      <c r="U8" s="217"/>
      <c r="V8" s="668"/>
      <c r="W8" s="249"/>
      <c r="X8" s="668"/>
      <c r="Y8" s="1178"/>
      <c r="Z8" s="2151"/>
      <c r="AA8" s="2029" t="s">
        <v>50</v>
      </c>
      <c r="AB8" s="2151"/>
      <c r="AC8" s="2029" t="s">
        <v>50</v>
      </c>
      <c r="AD8" s="668"/>
      <c r="AE8" s="249"/>
      <c r="AF8" s="668"/>
      <c r="AG8" s="1178"/>
      <c r="AH8" s="2151"/>
      <c r="AI8" s="2029" t="s">
        <v>50</v>
      </c>
      <c r="AJ8" s="2151"/>
      <c r="AK8" s="2029" t="s">
        <v>50</v>
      </c>
      <c r="AL8" s="249"/>
      <c r="AM8" s="2169" t="s">
        <v>380</v>
      </c>
      <c r="AN8" s="436" t="e">
        <f ca="1">STRCHECKDATE(V9:AL9)</f>
        <v>#NAME?</v>
      </c>
      <c r="AO8" s="425"/>
      <c r="AP8" s="425" t="str">
        <f t="shared" si="0"/>
        <v/>
      </c>
      <c r="AQ8" s="425"/>
      <c r="AR8" s="425"/>
    </row>
    <row r="9" spans="1:44" ht="0.75" hidden="1" customHeight="1">
      <c r="A9" s="1281"/>
      <c r="B9" s="1281"/>
      <c r="C9" s="1281"/>
      <c r="D9" s="1281"/>
      <c r="E9" s="2147"/>
      <c r="F9" s="2147"/>
      <c r="G9" s="2147"/>
      <c r="H9" s="2147"/>
      <c r="I9" s="2149"/>
      <c r="J9" s="2149"/>
      <c r="K9" s="2148"/>
      <c r="L9" s="1282"/>
      <c r="M9" s="461"/>
      <c r="N9" s="1284"/>
      <c r="O9" s="1284"/>
      <c r="P9" s="2150"/>
      <c r="Q9" s="2150"/>
      <c r="R9" s="281"/>
      <c r="S9" s="1227"/>
      <c r="T9" s="217"/>
      <c r="U9" s="217"/>
      <c r="V9" s="249"/>
      <c r="W9" s="249"/>
      <c r="X9" s="249"/>
      <c r="Y9" s="253" t="str">
        <f>Z8&amp;"-"&amp;AB8</f>
        <v>-</v>
      </c>
      <c r="Z9" s="2152"/>
      <c r="AA9" s="2029"/>
      <c r="AB9" s="2152"/>
      <c r="AC9" s="2029"/>
      <c r="AD9" s="249"/>
      <c r="AE9" s="249"/>
      <c r="AF9" s="249"/>
      <c r="AG9" s="253" t="str">
        <f>AH8&amp;"-"&amp;AJ8</f>
        <v>-</v>
      </c>
      <c r="AH9" s="2152"/>
      <c r="AI9" s="2029"/>
      <c r="AJ9" s="2152"/>
      <c r="AK9" s="2029"/>
      <c r="AL9" s="249"/>
      <c r="AM9" s="2170"/>
      <c r="AO9" s="425"/>
      <c r="AP9" s="425" t="str">
        <f t="shared" si="0"/>
        <v/>
      </c>
      <c r="AQ9" s="425"/>
      <c r="AR9" s="425"/>
    </row>
    <row r="10" spans="1:44" ht="15" hidden="1" customHeight="1">
      <c r="A10" s="1281"/>
      <c r="B10" s="1281"/>
      <c r="C10" s="1281"/>
      <c r="D10" s="1281"/>
      <c r="E10" s="2147"/>
      <c r="F10" s="2147"/>
      <c r="G10" s="2147"/>
      <c r="H10" s="2147"/>
      <c r="I10" s="2149"/>
      <c r="J10" s="2148"/>
      <c r="K10" s="1281"/>
      <c r="L10" s="1282"/>
      <c r="M10" s="461"/>
      <c r="N10" s="1284"/>
      <c r="P10" s="2150"/>
      <c r="Q10" s="2150"/>
      <c r="R10" s="280"/>
      <c r="S10" s="1200"/>
      <c r="T10" s="205" t="s">
        <v>381</v>
      </c>
      <c r="U10" s="294"/>
      <c r="V10" s="294"/>
      <c r="W10" s="294"/>
      <c r="X10" s="294"/>
      <c r="Y10" s="294"/>
      <c r="Z10" s="294"/>
      <c r="AA10" s="294"/>
      <c r="AB10" s="294"/>
      <c r="AC10" s="294"/>
      <c r="AD10" s="294"/>
      <c r="AE10" s="294"/>
      <c r="AF10" s="294"/>
      <c r="AG10" s="294"/>
      <c r="AH10" s="294"/>
      <c r="AI10" s="294"/>
      <c r="AJ10" s="294"/>
      <c r="AK10" s="294"/>
      <c r="AL10" s="248"/>
      <c r="AM10" s="2171"/>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7"/>
      <c r="F11" s="2147"/>
      <c r="G11" s="2147"/>
      <c r="H11" s="2147"/>
      <c r="I11" s="2148"/>
      <c r="J11" s="1281"/>
      <c r="K11" s="1281"/>
      <c r="L11" s="1282"/>
      <c r="M11" s="461"/>
      <c r="P11" s="2150"/>
      <c r="Q11" s="1226"/>
      <c r="R11" s="280"/>
      <c r="S11" s="1200"/>
      <c r="T11" s="204"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7"/>
      <c r="F12" s="2147"/>
      <c r="G12" s="2147"/>
      <c r="H12" s="2146"/>
      <c r="I12" s="1281"/>
      <c r="J12" s="1281"/>
      <c r="K12" s="1281"/>
      <c r="L12" s="1282"/>
      <c r="M12" s="1283"/>
      <c r="N12" s="1283"/>
      <c r="O12" s="461"/>
      <c r="P12" s="284"/>
      <c r="Q12" s="303"/>
      <c r="R12" s="279"/>
      <c r="S12" s="1200"/>
      <c r="T12" s="291" t="s">
        <v>383</v>
      </c>
      <c r="U12" s="294"/>
      <c r="V12" s="294"/>
      <c r="W12" s="294"/>
      <c r="X12" s="294"/>
      <c r="Y12" s="294"/>
      <c r="Z12" s="294"/>
      <c r="AA12" s="294"/>
      <c r="AB12" s="294"/>
      <c r="AC12" s="293"/>
      <c r="AD12" s="294"/>
      <c r="AE12" s="294"/>
      <c r="AF12" s="294"/>
      <c r="AG12" s="294"/>
      <c r="AH12" s="294"/>
      <c r="AI12" s="294"/>
      <c r="AJ12" s="294"/>
      <c r="AK12" s="293"/>
      <c r="AL12" s="294"/>
      <c r="AM12" s="220"/>
      <c r="AO12" s="425"/>
      <c r="AP12" s="425" t="str">
        <f t="shared" si="0"/>
        <v>Добавить схему подключения</v>
      </c>
      <c r="AQ12" s="425"/>
      <c r="AR12" s="425"/>
    </row>
    <row r="13" spans="1:44" s="1881" customFormat="1" ht="0.75" hidden="1" customHeight="1">
      <c r="A13" s="1234"/>
      <c r="B13" s="1234"/>
      <c r="C13" s="1234"/>
      <c r="D13" s="1234"/>
      <c r="E13" s="2147"/>
      <c r="F13" s="2147"/>
      <c r="G13" s="2146"/>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7"/>
      <c r="F14" s="2146"/>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6"/>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P17" s="1231"/>
      <c r="AD17" s="1278"/>
      <c r="AE17" s="1278"/>
      <c r="AF17" s="1278"/>
      <c r="AG17" s="1279"/>
      <c r="AH17" s="2144"/>
      <c r="AI17" s="2143" t="s">
        <v>50</v>
      </c>
      <c r="AJ17" s="2144"/>
      <c r="AK17" s="2143" t="s">
        <v>50</v>
      </c>
    </row>
    <row r="18" spans="1:44" ht="14.25" hidden="1" customHeight="1">
      <c r="P18" s="1231"/>
      <c r="AD18" s="1278"/>
      <c r="AE18" s="1278"/>
      <c r="AF18" s="1278"/>
      <c r="AG18" s="253" t="str">
        <f>AH17&amp;"-"&amp;AJ17</f>
        <v>-</v>
      </c>
      <c r="AH18" s="2143"/>
      <c r="AI18" s="2143"/>
      <c r="AJ18" s="2143"/>
      <c r="AK18" s="2143"/>
    </row>
    <row r="19" spans="1:44" ht="14.25" hidden="1" customHeight="1">
      <c r="P19" s="123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c r="P23" s="1231"/>
    </row>
    <row r="24" spans="1:44" ht="14.25" hidden="1" customHeight="1">
      <c r="O24" s="1282"/>
      <c r="P24" s="1231"/>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14.25" customHeight="1">
      <c r="Q26" s="304"/>
      <c r="R26" s="304"/>
      <c r="S26" s="212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27"/>
      <c r="U26" s="2127"/>
      <c r="V26" s="2127"/>
      <c r="W26" s="2127"/>
      <c r="X26" s="2127"/>
      <c r="Y26" s="2127"/>
      <c r="Z26" s="2127"/>
      <c r="AA26" s="2127"/>
      <c r="AB26" s="2127"/>
      <c r="AC26" s="2127"/>
      <c r="AD26" s="2127"/>
      <c r="AE26" s="2127"/>
      <c r="AF26" s="2127"/>
      <c r="AG26" s="2127"/>
      <c r="AH26" s="2127"/>
      <c r="AI26" s="2127"/>
      <c r="AJ26" s="2127"/>
      <c r="AK26" s="1154"/>
    </row>
    <row r="27" spans="1:44" ht="14.25" customHeight="1">
      <c r="Q27" s="304"/>
      <c r="R27" s="304"/>
      <c r="S27" s="2098" t="str">
        <f>IF(org=0,"Не определено",org)</f>
        <v>ООО "Горводоканал"</v>
      </c>
      <c r="T27" s="2098"/>
      <c r="U27" s="2098"/>
      <c r="V27" s="2098"/>
      <c r="W27" s="2098"/>
      <c r="X27" s="2098"/>
      <c r="Y27" s="2098"/>
      <c r="Z27" s="2098"/>
      <c r="AA27" s="2098"/>
      <c r="AB27" s="2098"/>
      <c r="AC27" s="2098"/>
      <c r="AD27" s="2098"/>
      <c r="AE27" s="2098"/>
      <c r="AF27" s="2098"/>
      <c r="AG27" s="2098"/>
      <c r="AH27" s="2098"/>
      <c r="AI27" s="2098"/>
      <c r="AJ27" s="2098"/>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7" t="s">
        <v>37</v>
      </c>
      <c r="T29" s="2137"/>
      <c r="U29" s="1290"/>
      <c r="V29" s="2139" t="str">
        <f>IF(TITLE_NAME_OR_PR_CHANGE="",IF(TITLE_NAME_OR_PR="","",TITLE_NAME_OR_PR),TITLE_NAME_OR_PR_CHANGE)</f>
        <v/>
      </c>
      <c r="W29" s="2139"/>
      <c r="X29" s="2139"/>
      <c r="Y29" s="2139"/>
      <c r="Z29" s="2139"/>
      <c r="AA29" s="2139"/>
      <c r="AB29" s="2139"/>
      <c r="AC29" s="251"/>
      <c r="AD29" s="2139" t="str">
        <f>IF(TITLE_NAME_OR_PR_CHANGE="",IF(TITLE_NAME_OR_PR="","",TITLE_NAME_OR_PR),TITLE_NAME_OR_PR_CHANGE)</f>
        <v/>
      </c>
      <c r="AE29" s="2139"/>
      <c r="AF29" s="2139"/>
      <c r="AG29" s="2139"/>
      <c r="AH29" s="2139"/>
      <c r="AI29" s="2139"/>
      <c r="AJ29" s="2139"/>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7" t="s">
        <v>393</v>
      </c>
      <c r="T30" s="2137"/>
      <c r="U30" s="1290"/>
      <c r="V30" s="2138" t="str">
        <f>IF(TITLE_DATE_PR_CHANGE="",IF(TITLE_DATE_PR="","",TITLE_DATE_PR),TITLE_DATE_PR_CHANGE)</f>
        <v/>
      </c>
      <c r="W30" s="2138"/>
      <c r="X30" s="2138"/>
      <c r="Y30" s="2138"/>
      <c r="Z30" s="2138"/>
      <c r="AA30" s="2138"/>
      <c r="AB30" s="2138"/>
      <c r="AC30" s="251"/>
      <c r="AD30" s="2138" t="str">
        <f>IF(TITLE_DATE_PR_CHANGE="",IF(TITLE_DATE_PR="","",TITLE_DATE_PR),TITLE_DATE_PR_CHANGE)</f>
        <v/>
      </c>
      <c r="AE30" s="2138"/>
      <c r="AF30" s="2138"/>
      <c r="AG30" s="2138"/>
      <c r="AH30" s="2138"/>
      <c r="AI30" s="2138"/>
      <c r="AJ30" s="2138"/>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7" t="s">
        <v>394</v>
      </c>
      <c r="T31" s="2137"/>
      <c r="U31" s="1290"/>
      <c r="V31" s="2139" t="str">
        <f>IF(TITLE_NUMBER_PR_CHANGE="",IF(TITLE_NUMBER_PR="","",TITLE_NUMBER_PR),TITLE_NUMBER_PR_CHANGE)</f>
        <v/>
      </c>
      <c r="W31" s="2139"/>
      <c r="X31" s="2139"/>
      <c r="Y31" s="2139"/>
      <c r="Z31" s="2139"/>
      <c r="AA31" s="2139"/>
      <c r="AB31" s="2139"/>
      <c r="AC31" s="251"/>
      <c r="AD31" s="2139" t="str">
        <f>IF(TITLE_NUMBER_PR_CHANGE="",IF(TITLE_NUMBER_PR="","",TITLE_NUMBER_PR),TITLE_NUMBER_PR_CHANGE)</f>
        <v/>
      </c>
      <c r="AE31" s="2139"/>
      <c r="AF31" s="2139"/>
      <c r="AG31" s="2139"/>
      <c r="AH31" s="2139"/>
      <c r="AI31" s="2139"/>
      <c r="AJ31" s="2139"/>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7" t="s">
        <v>38</v>
      </c>
      <c r="T32" s="2137"/>
      <c r="U32" s="1290"/>
      <c r="V32" s="2139" t="str">
        <f>IF(TITLE_IST_PUB_CHANGE="",IF(TITLE_IST_PUB="","",TITLE_IST_PUB),TITLE_IST_PUB_CHANGE)</f>
        <v/>
      </c>
      <c r="W32" s="2139"/>
      <c r="X32" s="2139"/>
      <c r="Y32" s="2139"/>
      <c r="Z32" s="2139"/>
      <c r="AA32" s="2139"/>
      <c r="AB32" s="2139"/>
      <c r="AC32" s="251"/>
      <c r="AD32" s="2139" t="str">
        <f>IF(TITLE_IST_PUB_CHANGE="",IF(TITLE_IST_PUB="","",TITLE_IST_PUB),TITLE_IST_PUB_CHANGE)</f>
        <v/>
      </c>
      <c r="AE32" s="2139"/>
      <c r="AF32" s="2139"/>
      <c r="AG32" s="2139"/>
      <c r="AH32" s="2139"/>
      <c r="AI32" s="2139"/>
      <c r="AJ32" s="2139"/>
      <c r="AK32" s="251"/>
      <c r="AL32" s="251"/>
      <c r="AM32" s="198"/>
      <c r="AN32" s="295"/>
      <c r="AO32" s="295"/>
      <c r="AP32" s="295"/>
      <c r="AQ32" s="295"/>
      <c r="AR32" s="295"/>
    </row>
    <row r="33" spans="1:44" ht="14.25" hidden="1" customHeight="1">
      <c r="P33" s="1247"/>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7" t="s">
        <v>395</v>
      </c>
      <c r="T34" s="2137"/>
      <c r="U34" s="1290"/>
      <c r="V34" s="2138" t="str">
        <f>IF(TITLE_DATE_PR_CHANGE="",IF(TITLE_DATE_PR="","",TITLE_DATE_PR),TITLE_DATE_PR_CHANGE)</f>
        <v/>
      </c>
      <c r="W34" s="2138"/>
      <c r="X34" s="2138"/>
      <c r="Y34" s="2138"/>
      <c r="Z34" s="2138"/>
      <c r="AA34" s="2138"/>
      <c r="AB34" s="2138"/>
      <c r="AC34" s="251"/>
      <c r="AD34" s="2138" t="str">
        <f>IF(TITLE_DATE_PR_CHANGE="",IF(TITLE_DATE_PR="","",TITLE_DATE_PR),TITLE_DATE_PR_CHANGE)</f>
        <v/>
      </c>
      <c r="AE34" s="2138"/>
      <c r="AF34" s="2138"/>
      <c r="AG34" s="2138"/>
      <c r="AH34" s="2138"/>
      <c r="AI34" s="2138"/>
      <c r="AJ34" s="2138"/>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7" t="s">
        <v>396</v>
      </c>
      <c r="T35" s="2137"/>
      <c r="U35" s="1290"/>
      <c r="V35" s="2139" t="str">
        <f>IF(TITLE_NUMBER_PR_CHANGE="",IF(TITLE_NUMBER_PR="","",TITLE_NUMBER_PR),TITLE_NUMBER_PR_CHANGE)</f>
        <v/>
      </c>
      <c r="W35" s="2139"/>
      <c r="X35" s="2139"/>
      <c r="Y35" s="2139"/>
      <c r="Z35" s="2139"/>
      <c r="AA35" s="2139"/>
      <c r="AB35" s="2139"/>
      <c r="AC35" s="251"/>
      <c r="AD35" s="2139" t="str">
        <f>IF(TITLE_NUMBER_PR_CHANGE="",IF(TITLE_NUMBER_PR="","",TITLE_NUMBER_PR),TITLE_NUMBER_PR_CHANGE)</f>
        <v/>
      </c>
      <c r="AE35" s="2139"/>
      <c r="AF35" s="2139"/>
      <c r="AG35" s="2139"/>
      <c r="AH35" s="2139"/>
      <c r="AI35" s="2139"/>
      <c r="AJ35" s="2139"/>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126"/>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58"/>
      <c r="W37" s="2158"/>
      <c r="X37" s="2158"/>
      <c r="Y37" s="2158"/>
      <c r="Z37" s="2158"/>
      <c r="AA37" s="2158"/>
      <c r="AB37" s="2158"/>
      <c r="AC37" s="2158"/>
      <c r="AD37" s="2158"/>
      <c r="AE37" s="2158"/>
      <c r="AF37" s="2158"/>
      <c r="AG37" s="2158"/>
      <c r="AH37" s="2158"/>
      <c r="AI37" s="2158"/>
      <c r="AJ37" s="2158"/>
      <c r="AK37" s="2158"/>
    </row>
    <row r="38" spans="1:44" ht="14.25" customHeight="1">
      <c r="Q38" s="304"/>
      <c r="R38" s="304"/>
      <c r="S38" s="2019" t="s">
        <v>268</v>
      </c>
      <c r="T38" s="2019"/>
      <c r="U38" s="2019"/>
      <c r="V38" s="2019"/>
      <c r="W38" s="2019"/>
      <c r="X38" s="2019"/>
      <c r="Y38" s="2019"/>
      <c r="Z38" s="2019"/>
      <c r="AA38" s="2019"/>
      <c r="AB38" s="2019"/>
      <c r="AC38" s="2019"/>
      <c r="AD38" s="2019"/>
      <c r="AE38" s="2019"/>
      <c r="AF38" s="2019"/>
      <c r="AG38" s="2019"/>
      <c r="AH38" s="2019"/>
      <c r="AI38" s="2019"/>
      <c r="AJ38" s="2019"/>
      <c r="AK38" s="2019"/>
      <c r="AL38" s="2019"/>
      <c r="AM38" s="2019" t="s">
        <v>269</v>
      </c>
    </row>
    <row r="39" spans="1:44" ht="14.25" customHeight="1">
      <c r="Q39" s="304"/>
      <c r="R39" s="304"/>
      <c r="S39" s="2159" t="s">
        <v>73</v>
      </c>
      <c r="T39" s="2107" t="s">
        <v>398</v>
      </c>
      <c r="U39" s="218"/>
      <c r="V39" s="2160" t="s">
        <v>399</v>
      </c>
      <c r="W39" s="2161"/>
      <c r="X39" s="2161"/>
      <c r="Y39" s="2161"/>
      <c r="Z39" s="2161"/>
      <c r="AA39" s="2161"/>
      <c r="AB39" s="2162"/>
      <c r="AC39" s="2163" t="s">
        <v>400</v>
      </c>
      <c r="AD39" s="2160" t="s">
        <v>399</v>
      </c>
      <c r="AE39" s="2161"/>
      <c r="AF39" s="2161"/>
      <c r="AG39" s="2161"/>
      <c r="AH39" s="2161"/>
      <c r="AI39" s="2161"/>
      <c r="AJ39" s="2162"/>
      <c r="AK39" s="2163" t="s">
        <v>401</v>
      </c>
      <c r="AL39" s="2166" t="s">
        <v>402</v>
      </c>
      <c r="AM39" s="2019"/>
    </row>
    <row r="40" spans="1:44" ht="33.75" customHeight="1">
      <c r="Q40" s="304"/>
      <c r="R40" s="304"/>
      <c r="S40" s="2159"/>
      <c r="T40" s="2107"/>
      <c r="U40" s="940"/>
      <c r="V40" s="2076" t="s">
        <v>403</v>
      </c>
      <c r="W40" s="2155" t="s">
        <v>404</v>
      </c>
      <c r="X40" s="2001" t="s">
        <v>405</v>
      </c>
      <c r="Y40" s="2000"/>
      <c r="Z40" s="2001" t="s">
        <v>406</v>
      </c>
      <c r="AA40" s="2006"/>
      <c r="AB40" s="2000"/>
      <c r="AC40" s="2164"/>
      <c r="AD40" s="2076" t="s">
        <v>403</v>
      </c>
      <c r="AE40" s="2155" t="s">
        <v>404</v>
      </c>
      <c r="AF40" s="2001" t="s">
        <v>405</v>
      </c>
      <c r="AG40" s="2000"/>
      <c r="AH40" s="2001" t="s">
        <v>406</v>
      </c>
      <c r="AI40" s="2006"/>
      <c r="AJ40" s="2000"/>
      <c r="AK40" s="2164"/>
      <c r="AL40" s="2167"/>
      <c r="AM40" s="2019"/>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9"/>
      <c r="T41" s="2107"/>
      <c r="U41" s="219"/>
      <c r="V41" s="2132"/>
      <c r="W41" s="2156"/>
      <c r="X41" s="1130" t="s">
        <v>414</v>
      </c>
      <c r="Y41" s="1130" t="s">
        <v>415</v>
      </c>
      <c r="Z41" s="1129" t="s">
        <v>416</v>
      </c>
      <c r="AA41" s="2112" t="s">
        <v>417</v>
      </c>
      <c r="AB41" s="2126"/>
      <c r="AC41" s="2165"/>
      <c r="AD41" s="2132"/>
      <c r="AE41" s="2156"/>
      <c r="AF41" s="1130" t="s">
        <v>414</v>
      </c>
      <c r="AG41" s="1130" t="s">
        <v>415</v>
      </c>
      <c r="AH41" s="1233" t="s">
        <v>416</v>
      </c>
      <c r="AI41" s="2112" t="s">
        <v>417</v>
      </c>
      <c r="AJ41" s="2126"/>
      <c r="AK41" s="2165"/>
      <c r="AL41" s="2168"/>
      <c r="AM41" s="2019"/>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175">
        <f ca="1">OFFSET(V42,0,-1)+1</f>
        <v>3</v>
      </c>
      <c r="W42" s="1175"/>
      <c r="X42" s="1175">
        <f ca="1">OFFSET(X42,0,-1)+1</f>
        <v>1</v>
      </c>
      <c r="Y42" s="1175">
        <f ca="1">OFFSET(Y42,0,-1)+1</f>
        <v>2</v>
      </c>
      <c r="Z42" s="1175">
        <f ca="1">OFFSET(Z42,0,-1)+1</f>
        <v>3</v>
      </c>
      <c r="AA42" s="2157">
        <f ca="1">OFFSET(AA42,0,-1)+1</f>
        <v>4</v>
      </c>
      <c r="AB42" s="2157"/>
      <c r="AC42" s="1175">
        <f ca="1">OFFSET(AC42,0,-2)+1</f>
        <v>5</v>
      </c>
      <c r="AD42" s="1232">
        <f ca="1">OFFSET(AD42,0,-1)+1</f>
        <v>6</v>
      </c>
      <c r="AE42" s="1232"/>
      <c r="AF42" s="1232">
        <f ca="1">OFFSET(AF42,0,-1)+1</f>
        <v>1</v>
      </c>
      <c r="AG42" s="1232">
        <f ca="1">OFFSET(AG42,0,-1)+1</f>
        <v>2</v>
      </c>
      <c r="AH42" s="1232">
        <f ca="1">OFFSET(AH42,0,-1)+1</f>
        <v>3</v>
      </c>
      <c r="AI42" s="2157">
        <f ca="1">OFFSET(AI42,0,-1)+1</f>
        <v>4</v>
      </c>
      <c r="AJ42" s="2157"/>
      <c r="AK42" s="1232">
        <f ca="1">OFFSET(AK42,0,-2)+1</f>
        <v>5</v>
      </c>
      <c r="AL42" s="1156">
        <f ca="1">OFFSET(AL42,0,-1)</f>
        <v>5</v>
      </c>
      <c r="AM42" s="1175">
        <f ca="1">OFFSET(AM42,0,-1)+1</f>
        <v>6</v>
      </c>
      <c r="AN42" s="436"/>
      <c r="AO42" s="436"/>
      <c r="AP42" s="436"/>
      <c r="AQ42" s="436"/>
      <c r="AR42" s="436"/>
    </row>
    <row r="43" spans="1:44" ht="23.25" customHeight="1">
      <c r="A43" s="1281" t="s">
        <v>138</v>
      </c>
      <c r="B43" s="1281"/>
      <c r="C43" s="1281"/>
      <c r="D43" s="1281"/>
      <c r="E43" s="2146">
        <v>1</v>
      </c>
      <c r="F43" s="1281"/>
      <c r="G43" s="1281"/>
      <c r="H43" s="1281"/>
      <c r="I43" s="1281"/>
      <c r="J43" s="1281"/>
      <c r="K43" s="1281"/>
      <c r="L43" s="1282"/>
      <c r="M43" s="1283"/>
      <c r="N43" s="1283"/>
      <c r="O43" s="1283"/>
      <c r="P43" s="285"/>
      <c r="Q43" s="284"/>
      <c r="R43" s="279"/>
      <c r="S43" s="1134">
        <f>INDEX(PT_DIFFERENTIATION_NUM_NTAR,MATCH(A43,PT_DIFFERENTIATION_NTAR_ID,0))</f>
        <v>0</v>
      </c>
      <c r="T43" s="215" t="s">
        <v>105</v>
      </c>
      <c r="U43" s="217"/>
      <c r="V43" s="2140"/>
      <c r="W43" s="2141"/>
      <c r="X43" s="2141"/>
      <c r="Y43" s="2141"/>
      <c r="Z43" s="2141"/>
      <c r="AA43" s="2141"/>
      <c r="AB43" s="2141"/>
      <c r="AC43" s="2142"/>
      <c r="AD43" s="2140" t="str">
        <f>INDEX(PT_DIFFERENTIATION_NTAR,MATCH(A43,PT_DIFFERENTIATION_NTAR_ID,0))</f>
        <v/>
      </c>
      <c r="AE43" s="2141"/>
      <c r="AF43" s="2141"/>
      <c r="AG43" s="2141"/>
      <c r="AH43" s="2141"/>
      <c r="AI43" s="2141"/>
      <c r="AJ43" s="2141"/>
      <c r="AK43" s="2141"/>
      <c r="AL43" s="2142"/>
      <c r="AM43" s="11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3.25" customHeight="1">
      <c r="A44" s="1281" t="s">
        <v>138</v>
      </c>
      <c r="B44" s="1281" t="s">
        <v>139</v>
      </c>
      <c r="C44" s="1281"/>
      <c r="D44" s="1281"/>
      <c r="E44" s="2147"/>
      <c r="F44" s="2146">
        <v>1</v>
      </c>
      <c r="G44" s="1281"/>
      <c r="H44" s="1281"/>
      <c r="I44" s="1281"/>
      <c r="J44" s="1281"/>
      <c r="K44" s="1281"/>
      <c r="L44" s="1282"/>
      <c r="M44" s="1283"/>
      <c r="N44" s="1283"/>
      <c r="O44" s="1283"/>
      <c r="P44" s="447"/>
      <c r="Q44" s="276"/>
      <c r="R44" s="277"/>
      <c r="S44" s="1134" t="str">
        <f>INDEX(PT_DIFFERENTIATION_NUM_TER,MATCH(B44,PT_DIFFERENTIATION_TER_ID,0))</f>
        <v>.</v>
      </c>
      <c r="T44" s="227" t="s">
        <v>367</v>
      </c>
      <c r="U44" s="217"/>
      <c r="V44" s="2140"/>
      <c r="W44" s="2141"/>
      <c r="X44" s="2141"/>
      <c r="Y44" s="2141"/>
      <c r="Z44" s="2141"/>
      <c r="AA44" s="2141"/>
      <c r="AB44" s="2141"/>
      <c r="AC44" s="2142"/>
      <c r="AD44" s="2140" t="str">
        <f>INDEX(PT_DIFFERENTIATION_TER,MATCH(B44,PT_DIFFERENTIATION_TER_ID,0))</f>
        <v/>
      </c>
      <c r="AE44" s="2141"/>
      <c r="AF44" s="2141"/>
      <c r="AG44" s="2141"/>
      <c r="AH44" s="2141"/>
      <c r="AI44" s="2141"/>
      <c r="AJ44" s="2141"/>
      <c r="AK44" s="2141"/>
      <c r="AL44" s="2142"/>
      <c r="AM44" s="1179" t="s">
        <v>368</v>
      </c>
      <c r="AO44" s="425"/>
      <c r="AP44" s="425" t="str">
        <f t="shared" si="1"/>
        <v>Территория действия тарифа</v>
      </c>
      <c r="AQ44" s="425"/>
      <c r="AR44" s="425"/>
    </row>
    <row r="45" spans="1:44" ht="23.25" customHeight="1">
      <c r="A45" s="1281" t="s">
        <v>138</v>
      </c>
      <c r="B45" s="1281" t="s">
        <v>139</v>
      </c>
      <c r="C45" s="1281" t="s">
        <v>140</v>
      </c>
      <c r="D45" s="1281"/>
      <c r="E45" s="2147"/>
      <c r="F45" s="2147"/>
      <c r="G45" s="2146">
        <v>1</v>
      </c>
      <c r="H45" s="1281"/>
      <c r="I45" s="1281"/>
      <c r="J45" s="1281"/>
      <c r="K45" s="1281"/>
      <c r="L45" s="1282"/>
      <c r="M45" s="1283"/>
      <c r="N45" s="1283"/>
      <c r="O45" s="1283"/>
      <c r="P45" s="278"/>
      <c r="Q45" s="276"/>
      <c r="R45" s="277"/>
      <c r="S45" s="1134" t="str">
        <f>INDEX(PT_DIFFERENTIATION_NUM_CS,MATCH(C45,PT_DIFFERENTIATION_CS_ID,0))</f>
        <v>..</v>
      </c>
      <c r="T45" s="228" t="s">
        <v>369</v>
      </c>
      <c r="U45" s="217"/>
      <c r="V45" s="2140"/>
      <c r="W45" s="2141"/>
      <c r="X45" s="2141"/>
      <c r="Y45" s="2141"/>
      <c r="Z45" s="2141"/>
      <c r="AA45" s="2141"/>
      <c r="AB45" s="2141"/>
      <c r="AC45" s="2142"/>
      <c r="AD45" s="2140" t="str">
        <f>INDEX(PT_DIFFERENTIATION_CS,MATCH(C45,PT_DIFFERENTIATION_CS_ID,0))</f>
        <v/>
      </c>
      <c r="AE45" s="2141"/>
      <c r="AF45" s="2141"/>
      <c r="AG45" s="2141"/>
      <c r="AH45" s="2141"/>
      <c r="AI45" s="2141"/>
      <c r="AJ45" s="2141"/>
      <c r="AK45" s="2141"/>
      <c r="AL45" s="2142"/>
      <c r="AM45" s="1179" t="s">
        <v>370</v>
      </c>
      <c r="AO45" s="425"/>
      <c r="AP45" s="425" t="str">
        <f t="shared" si="1"/>
        <v xml:space="preserve">Наименование системы теплоснабжения </v>
      </c>
      <c r="AQ45" s="425"/>
      <c r="AR45" s="425"/>
    </row>
    <row r="46" spans="1:44" ht="23.25" customHeight="1">
      <c r="A46" s="1281" t="s">
        <v>138</v>
      </c>
      <c r="B46" s="1281" t="s">
        <v>139</v>
      </c>
      <c r="C46" s="1281" t="s">
        <v>140</v>
      </c>
      <c r="D46" s="1281" t="s">
        <v>141</v>
      </c>
      <c r="E46" s="2147"/>
      <c r="F46" s="2147"/>
      <c r="G46" s="2147"/>
      <c r="H46" s="2146">
        <v>1</v>
      </c>
      <c r="I46" s="1281"/>
      <c r="J46" s="1281"/>
      <c r="K46" s="1281"/>
      <c r="L46" s="1282"/>
      <c r="M46" s="1283"/>
      <c r="N46" s="1283"/>
      <c r="O46" s="1283"/>
      <c r="P46" s="278"/>
      <c r="Q46" s="276"/>
      <c r="R46" s="277"/>
      <c r="S46" s="1134" t="str">
        <f>INDEX(PT_DIFFERENTIATION_NUM_IST_TE,MATCH(D46,PT_DIFFERENTIATION_IST_TE_ID,0))</f>
        <v>...</v>
      </c>
      <c r="T46" s="229" t="s">
        <v>371</v>
      </c>
      <c r="U46" s="217"/>
      <c r="V46" s="2140"/>
      <c r="W46" s="2141"/>
      <c r="X46" s="2141"/>
      <c r="Y46" s="2141"/>
      <c r="Z46" s="2141"/>
      <c r="AA46" s="2141"/>
      <c r="AB46" s="2141"/>
      <c r="AC46" s="2142"/>
      <c r="AD46" s="2140" t="str">
        <f>INDEX(PT_DIFFERENTIATION_IST_TE,MATCH(D46,PT_DIFFERENTIATION_IST_TE_ID,0))</f>
        <v/>
      </c>
      <c r="AE46" s="2141"/>
      <c r="AF46" s="2141"/>
      <c r="AG46" s="2141"/>
      <c r="AH46" s="2141"/>
      <c r="AI46" s="2141"/>
      <c r="AJ46" s="2141"/>
      <c r="AK46" s="2141"/>
      <c r="AL46" s="2142"/>
      <c r="AM46" s="1179" t="s">
        <v>372</v>
      </c>
      <c r="AO46" s="425"/>
      <c r="AP46" s="425" t="str">
        <f t="shared" si="1"/>
        <v xml:space="preserve">Источник тепловой энергии  </v>
      </c>
      <c r="AQ46" s="425"/>
      <c r="AR46" s="425"/>
    </row>
    <row r="47" spans="1:44" ht="47.25" customHeight="1">
      <c r="A47" s="1281" t="s">
        <v>138</v>
      </c>
      <c r="B47" s="1281" t="s">
        <v>139</v>
      </c>
      <c r="C47" s="1281" t="s">
        <v>140</v>
      </c>
      <c r="D47" s="1281" t="s">
        <v>141</v>
      </c>
      <c r="E47" s="2147"/>
      <c r="F47" s="2147"/>
      <c r="G47" s="2147"/>
      <c r="H47" s="2147"/>
      <c r="I47" s="2148" t="str">
        <f>S46&amp;".1"</f>
        <v>....1</v>
      </c>
      <c r="J47" s="1281"/>
      <c r="K47" s="1281"/>
      <c r="L47" s="1282" t="s">
        <v>373</v>
      </c>
      <c r="P47" s="2150">
        <v>1</v>
      </c>
      <c r="Q47" s="1128"/>
      <c r="R47" s="280"/>
      <c r="S47" s="1134" t="str">
        <f>$I47</f>
        <v>....1</v>
      </c>
      <c r="T47" s="202" t="s">
        <v>374</v>
      </c>
      <c r="U47" s="217"/>
      <c r="V47" s="2134"/>
      <c r="W47" s="2135"/>
      <c r="X47" s="2135"/>
      <c r="Y47" s="2135"/>
      <c r="Z47" s="2135"/>
      <c r="AA47" s="2135"/>
      <c r="AB47" s="2135"/>
      <c r="AC47" s="2136"/>
      <c r="AD47" s="2134"/>
      <c r="AE47" s="2135"/>
      <c r="AF47" s="2135"/>
      <c r="AG47" s="2135"/>
      <c r="AH47" s="2135"/>
      <c r="AI47" s="2135"/>
      <c r="AJ47" s="2135"/>
      <c r="AK47" s="2135"/>
      <c r="AL47" s="2136"/>
      <c r="AM47" s="1179" t="s">
        <v>375</v>
      </c>
      <c r="AO47" s="425"/>
      <c r="AP47" s="425" t="str">
        <f t="shared" si="1"/>
        <v>Схема подключения теплопотребляющей установки к коллектору источника тепловой энергии</v>
      </c>
      <c r="AQ47" s="425"/>
      <c r="AR47" s="425"/>
    </row>
    <row r="48" spans="1:44" ht="23.25" customHeight="1">
      <c r="A48" s="1281" t="s">
        <v>138</v>
      </c>
      <c r="B48" s="1281" t="s">
        <v>139</v>
      </c>
      <c r="C48" s="1281" t="s">
        <v>140</v>
      </c>
      <c r="D48" s="1281" t="s">
        <v>141</v>
      </c>
      <c r="E48" s="2147"/>
      <c r="F48" s="2147"/>
      <c r="G48" s="2147"/>
      <c r="H48" s="2147"/>
      <c r="I48" s="2149"/>
      <c r="J48" s="2148" t="str">
        <f>I47&amp;".1"</f>
        <v>....1.1</v>
      </c>
      <c r="K48" s="1281"/>
      <c r="L48" s="1282" t="s">
        <v>376</v>
      </c>
      <c r="P48" s="2150"/>
      <c r="Q48" s="2150">
        <v>1</v>
      </c>
      <c r="R48" s="281"/>
      <c r="S48" s="1134" t="str">
        <f>$J48</f>
        <v>....1.1</v>
      </c>
      <c r="T48" s="203" t="s">
        <v>377</v>
      </c>
      <c r="U48" s="217"/>
      <c r="V48" s="2134"/>
      <c r="W48" s="2135"/>
      <c r="X48" s="2135"/>
      <c r="Y48" s="2135"/>
      <c r="Z48" s="2135"/>
      <c r="AA48" s="2135"/>
      <c r="AB48" s="2135"/>
      <c r="AC48" s="2136"/>
      <c r="AD48" s="2134"/>
      <c r="AE48" s="2135"/>
      <c r="AF48" s="2135"/>
      <c r="AG48" s="2135"/>
      <c r="AH48" s="2135"/>
      <c r="AI48" s="2135"/>
      <c r="AJ48" s="2135"/>
      <c r="AK48" s="2135"/>
      <c r="AL48" s="2136"/>
      <c r="AM48" s="1179" t="s">
        <v>378</v>
      </c>
      <c r="AO48" s="425"/>
      <c r="AP48" s="425" t="str">
        <f t="shared" si="1"/>
        <v>Группа потребителей</v>
      </c>
      <c r="AQ48" s="425"/>
      <c r="AR48" s="425"/>
    </row>
    <row r="49" spans="1:44" ht="23.25" customHeight="1">
      <c r="A49" s="1281" t="s">
        <v>138</v>
      </c>
      <c r="B49" s="1281" t="s">
        <v>139</v>
      </c>
      <c r="C49" s="1281" t="s">
        <v>140</v>
      </c>
      <c r="D49" s="1281" t="s">
        <v>141</v>
      </c>
      <c r="E49" s="2147"/>
      <c r="F49" s="2147"/>
      <c r="G49" s="2147"/>
      <c r="H49" s="2147"/>
      <c r="I49" s="2149"/>
      <c r="J49" s="2149"/>
      <c r="K49" s="2148" t="str">
        <f>J48&amp;".1"</f>
        <v>....1.1.1</v>
      </c>
      <c r="L49" s="1282" t="s">
        <v>379</v>
      </c>
      <c r="P49" s="2150"/>
      <c r="Q49" s="2150"/>
      <c r="R49" s="281">
        <v>1</v>
      </c>
      <c r="S49" s="1134" t="str">
        <f>$K49</f>
        <v>....1.1.1</v>
      </c>
      <c r="T49" s="1266"/>
      <c r="U49" s="217"/>
      <c r="V49" s="668"/>
      <c r="W49" s="249"/>
      <c r="X49" s="668"/>
      <c r="Y49" s="1178"/>
      <c r="Z49" s="2151"/>
      <c r="AA49" s="2029" t="s">
        <v>50</v>
      </c>
      <c r="AB49" s="2151"/>
      <c r="AC49" s="2029" t="s">
        <v>50</v>
      </c>
      <c r="AD49" s="668"/>
      <c r="AE49" s="249"/>
      <c r="AF49" s="668"/>
      <c r="AG49" s="1178"/>
      <c r="AH49" s="2151"/>
      <c r="AI49" s="2029" t="s">
        <v>50</v>
      </c>
      <c r="AJ49" s="2153"/>
      <c r="AK49" s="2029" t="s">
        <v>50</v>
      </c>
      <c r="AL49" s="1267"/>
      <c r="AM49" s="2169" t="s">
        <v>380</v>
      </c>
      <c r="AN49" s="436" t="e">
        <f ca="1">STRCHECKDATE(V50:AL50)</f>
        <v>#NAME?</v>
      </c>
      <c r="AO49" s="425"/>
      <c r="AP49" s="425" t="str">
        <f t="shared" si="1"/>
        <v/>
      </c>
      <c r="AQ49" s="425"/>
      <c r="AR49" s="425"/>
    </row>
    <row r="50" spans="1:44" ht="0.75" customHeight="1">
      <c r="A50" s="1281" t="s">
        <v>138</v>
      </c>
      <c r="B50" s="1281" t="s">
        <v>139</v>
      </c>
      <c r="C50" s="1281" t="s">
        <v>140</v>
      </c>
      <c r="D50" s="1281" t="s">
        <v>141</v>
      </c>
      <c r="E50" s="2147"/>
      <c r="F50" s="2147"/>
      <c r="G50" s="2147"/>
      <c r="H50" s="2147"/>
      <c r="I50" s="2149"/>
      <c r="J50" s="2149"/>
      <c r="K50" s="2148"/>
      <c r="L50" s="1282"/>
      <c r="P50" s="2150"/>
      <c r="Q50" s="2150"/>
      <c r="R50" s="281"/>
      <c r="S50" s="1132"/>
      <c r="T50" s="217"/>
      <c r="U50" s="217"/>
      <c r="V50" s="249"/>
      <c r="W50" s="249"/>
      <c r="X50" s="249"/>
      <c r="Y50" s="253" t="str">
        <f>Z49&amp;"-"&amp;AB49</f>
        <v>-</v>
      </c>
      <c r="Z50" s="2152"/>
      <c r="AA50" s="2029"/>
      <c r="AB50" s="2152"/>
      <c r="AC50" s="2029"/>
      <c r="AD50" s="249"/>
      <c r="AE50" s="249"/>
      <c r="AF50" s="249"/>
      <c r="AG50" s="253" t="str">
        <f>AH49&amp;"-"&amp;AJ49</f>
        <v>-</v>
      </c>
      <c r="AH50" s="2152"/>
      <c r="AI50" s="2029"/>
      <c r="AJ50" s="2154"/>
      <c r="AK50" s="2029"/>
      <c r="AL50" s="1268"/>
      <c r="AM50" s="2170"/>
      <c r="AO50" s="425"/>
      <c r="AP50" s="425" t="str">
        <f t="shared" si="1"/>
        <v/>
      </c>
      <c r="AQ50" s="425"/>
      <c r="AR50" s="425"/>
    </row>
    <row r="51" spans="1:44" ht="11.25" customHeight="1">
      <c r="A51" s="1281" t="s">
        <v>138</v>
      </c>
      <c r="B51" s="1281" t="s">
        <v>139</v>
      </c>
      <c r="C51" s="1281" t="s">
        <v>140</v>
      </c>
      <c r="D51" s="1281" t="s">
        <v>141</v>
      </c>
      <c r="E51" s="2147"/>
      <c r="F51" s="2147"/>
      <c r="G51" s="2147"/>
      <c r="H51" s="2147"/>
      <c r="I51" s="2149"/>
      <c r="J51" s="2148"/>
      <c r="K51" s="1281"/>
      <c r="L51" s="1282"/>
      <c r="P51" s="2150"/>
      <c r="Q51" s="2150"/>
      <c r="R51" s="280"/>
      <c r="S51" s="1200"/>
      <c r="T51" s="205" t="s">
        <v>381</v>
      </c>
      <c r="U51" s="294"/>
      <c r="V51" s="294"/>
      <c r="W51" s="294"/>
      <c r="X51" s="294"/>
      <c r="Y51" s="294"/>
      <c r="Z51" s="294"/>
      <c r="AA51" s="294"/>
      <c r="AB51" s="294"/>
      <c r="AC51" s="294"/>
      <c r="AD51" s="294"/>
      <c r="AE51" s="294"/>
      <c r="AF51" s="294"/>
      <c r="AG51" s="294"/>
      <c r="AH51" s="294"/>
      <c r="AI51" s="294"/>
      <c r="AJ51" s="294"/>
      <c r="AK51" s="294"/>
      <c r="AL51" s="248"/>
      <c r="AM51" s="2171"/>
      <c r="AO51" s="425"/>
      <c r="AP51" s="425" t="str">
        <f t="shared" si="1"/>
        <v>Добавить вид теплоносителя (параметры теплоносителя)</v>
      </c>
      <c r="AQ51" s="425"/>
      <c r="AR51" s="425"/>
    </row>
    <row r="52" spans="1:44" ht="11.25" customHeight="1">
      <c r="A52" s="1281" t="s">
        <v>138</v>
      </c>
      <c r="B52" s="1281" t="s">
        <v>139</v>
      </c>
      <c r="C52" s="1281" t="s">
        <v>140</v>
      </c>
      <c r="D52" s="1281" t="s">
        <v>141</v>
      </c>
      <c r="E52" s="2147"/>
      <c r="F52" s="2147"/>
      <c r="G52" s="2147"/>
      <c r="H52" s="2147"/>
      <c r="I52" s="2148"/>
      <c r="J52" s="1281"/>
      <c r="K52" s="1281"/>
      <c r="L52" s="1282"/>
      <c r="P52" s="2150"/>
      <c r="Q52" s="1128"/>
      <c r="R52" s="280"/>
      <c r="S52" s="1200"/>
      <c r="T52" s="204"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14.25" customHeight="1">
      <c r="A53" s="1281" t="s">
        <v>138</v>
      </c>
      <c r="B53" s="1281" t="s">
        <v>139</v>
      </c>
      <c r="C53" s="1281" t="s">
        <v>140</v>
      </c>
      <c r="D53" s="1281" t="s">
        <v>141</v>
      </c>
      <c r="E53" s="2147"/>
      <c r="F53" s="2147"/>
      <c r="G53" s="2147"/>
      <c r="H53" s="2146"/>
      <c r="I53" s="1281"/>
      <c r="J53" s="1281"/>
      <c r="K53" s="1281"/>
      <c r="L53" s="1282"/>
      <c r="M53" s="1283"/>
      <c r="N53" s="1283"/>
      <c r="O53" s="461"/>
      <c r="P53" s="284"/>
      <c r="Q53" s="303"/>
      <c r="R53" s="279"/>
      <c r="S53" s="1200"/>
      <c r="T53" s="291" t="s">
        <v>383</v>
      </c>
      <c r="U53" s="294"/>
      <c r="V53" s="294"/>
      <c r="W53" s="294"/>
      <c r="X53" s="294"/>
      <c r="Y53" s="294"/>
      <c r="Z53" s="294"/>
      <c r="AA53" s="294"/>
      <c r="AB53" s="294"/>
      <c r="AC53" s="293"/>
      <c r="AD53" s="294"/>
      <c r="AE53" s="294"/>
      <c r="AF53" s="294"/>
      <c r="AG53" s="294"/>
      <c r="AH53" s="294"/>
      <c r="AI53" s="294"/>
      <c r="AJ53" s="294"/>
      <c r="AK53" s="293"/>
      <c r="AL53" s="294"/>
      <c r="AM53" s="220"/>
      <c r="AO53" s="425"/>
      <c r="AP53" s="425" t="str">
        <f t="shared" si="1"/>
        <v>Добавить схему подключения</v>
      </c>
      <c r="AQ53" s="425"/>
      <c r="AR53" s="425"/>
    </row>
    <row r="54" spans="1:44" s="1881" customFormat="1" ht="0.75" customHeight="1">
      <c r="A54" s="1262" t="s">
        <v>138</v>
      </c>
      <c r="B54" s="1262" t="s">
        <v>139</v>
      </c>
      <c r="C54" s="1262" t="s">
        <v>140</v>
      </c>
      <c r="D54" s="1234"/>
      <c r="E54" s="2147"/>
      <c r="F54" s="2147"/>
      <c r="G54" s="2146"/>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138</v>
      </c>
      <c r="B55" s="1262" t="s">
        <v>139</v>
      </c>
      <c r="C55" s="1234"/>
      <c r="D55" s="1234"/>
      <c r="E55" s="2147"/>
      <c r="F55" s="2146"/>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138</v>
      </c>
      <c r="B56" s="1262"/>
      <c r="C56" s="1262"/>
      <c r="D56" s="1262"/>
      <c r="E56" s="2146"/>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7" customHeight="1">
      <c r="O59" s="461"/>
      <c r="S59" s="1166"/>
      <c r="T59" s="2145"/>
      <c r="U59" s="2145"/>
      <c r="V59" s="2145"/>
      <c r="W59" s="2145"/>
      <c r="X59" s="2145"/>
      <c r="Y59" s="2145"/>
      <c r="Z59" s="2145"/>
      <c r="AA59" s="2145"/>
      <c r="AB59" s="2145"/>
      <c r="AC59" s="2145"/>
      <c r="AD59" s="2145"/>
      <c r="AE59" s="2145"/>
      <c r="AF59" s="2145"/>
      <c r="AG59" s="2145"/>
      <c r="AH59" s="2145"/>
      <c r="AI59" s="2145"/>
      <c r="AJ59" s="2145"/>
      <c r="AK59" s="2145"/>
      <c r="AL59" s="2145"/>
      <c r="AM59" s="2145"/>
    </row>
    <row r="60" spans="1:44" ht="64.5" customHeight="1">
      <c r="O60" s="461"/>
      <c r="P60" s="1224"/>
      <c r="T60" s="2145"/>
      <c r="U60" s="2145"/>
      <c r="V60" s="2145"/>
      <c r="W60" s="2145"/>
      <c r="X60" s="2145"/>
      <c r="Y60" s="2145"/>
      <c r="Z60" s="2145"/>
      <c r="AA60" s="2145"/>
      <c r="AB60" s="2145"/>
      <c r="AC60" s="2145"/>
      <c r="AD60" s="2145"/>
      <c r="AE60" s="2145"/>
      <c r="AF60" s="2145"/>
      <c r="AG60" s="2145"/>
      <c r="AH60" s="2145"/>
      <c r="AI60" s="2145"/>
      <c r="AJ60" s="2145"/>
      <c r="AK60" s="2145"/>
      <c r="AL60" s="2145"/>
      <c r="AM60" s="2145"/>
    </row>
    <row r="61" spans="1:44" ht="14.25" customHeight="1">
      <c r="O61" s="461"/>
    </row>
    <row r="62" spans="1:44" ht="18" customHeight="1">
      <c r="O62" s="461"/>
      <c r="P62" s="1247"/>
      <c r="S62" s="1166"/>
      <c r="T62" s="2145"/>
      <c r="U62" s="2145"/>
      <c r="V62" s="2145"/>
      <c r="W62" s="2145"/>
      <c r="X62" s="2145"/>
      <c r="Y62" s="2145"/>
      <c r="Z62" s="2145"/>
      <c r="AA62" s="2145"/>
      <c r="AB62" s="2145"/>
      <c r="AC62" s="2145"/>
      <c r="AD62" s="2145"/>
      <c r="AE62" s="2145"/>
      <c r="AF62" s="2145"/>
      <c r="AG62" s="2145"/>
      <c r="AH62" s="2145"/>
      <c r="AI62" s="2145"/>
      <c r="AJ62" s="2145"/>
      <c r="AK62" s="2145"/>
      <c r="AL62" s="2145"/>
      <c r="AM62" s="2145"/>
    </row>
    <row r="63" spans="1:44" ht="18" customHeight="1">
      <c r="O63" s="461"/>
      <c r="P63" s="1247"/>
      <c r="T63" s="2145"/>
      <c r="U63" s="2145"/>
      <c r="V63" s="2145"/>
      <c r="W63" s="2145"/>
      <c r="X63" s="2145"/>
      <c r="Y63" s="2145"/>
      <c r="Z63" s="2145"/>
      <c r="AA63" s="2145"/>
      <c r="AB63" s="2145"/>
      <c r="AC63" s="2145"/>
      <c r="AD63" s="2145"/>
      <c r="AE63" s="2145"/>
      <c r="AF63" s="2145"/>
      <c r="AG63" s="2145"/>
      <c r="AH63" s="2145"/>
      <c r="AI63" s="2145"/>
      <c r="AJ63" s="2145"/>
      <c r="AK63" s="2145"/>
      <c r="AL63" s="2145"/>
      <c r="AM63" s="2145"/>
    </row>
    <row r="64" spans="1:44" ht="27.75" customHeight="1">
      <c r="O64" s="461"/>
      <c r="P64" s="1247"/>
      <c r="S64" s="1166"/>
      <c r="T64" s="2145"/>
      <c r="U64" s="2145"/>
      <c r="V64" s="2145"/>
      <c r="W64" s="2145"/>
      <c r="X64" s="2145"/>
      <c r="Y64" s="2145"/>
      <c r="Z64" s="2145"/>
      <c r="AA64" s="2145"/>
      <c r="AB64" s="2145"/>
      <c r="AC64" s="2145"/>
      <c r="AD64" s="2145"/>
      <c r="AE64" s="2145"/>
      <c r="AF64" s="2145"/>
      <c r="AG64" s="2145"/>
      <c r="AH64" s="2145"/>
      <c r="AI64" s="2145"/>
      <c r="AJ64" s="2145"/>
      <c r="AK64" s="2145"/>
      <c r="AL64" s="2145"/>
      <c r="AM64" s="2145"/>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6">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40"/>
      <c r="W2" s="2141"/>
      <c r="X2" s="2141"/>
      <c r="Y2" s="2141"/>
      <c r="Z2" s="2141"/>
      <c r="AA2" s="2141"/>
      <c r="AB2" s="2141"/>
      <c r="AC2" s="2142"/>
      <c r="AD2" s="2140" t="e">
        <f>INDEX(PT_DIFFERENTIATION_NTAR,MATCH(A2,PT_DIFFERENTIATION_NTAR_ID,0))</f>
        <v>#N/A</v>
      </c>
      <c r="AE2" s="2141"/>
      <c r="AF2" s="2141"/>
      <c r="AG2" s="2141"/>
      <c r="AH2" s="2141"/>
      <c r="AI2" s="2141"/>
      <c r="AJ2" s="2141"/>
      <c r="AK2" s="2141"/>
      <c r="AL2" s="2142"/>
      <c r="AM2" s="1179" t="s">
        <v>366</v>
      </c>
      <c r="AO2" s="425"/>
      <c r="AP2" s="425" t="str">
        <f t="shared" ref="AP2:AP15" si="0">IF(T2="","",T2)</f>
        <v>Наименование тарифа</v>
      </c>
      <c r="AQ2" s="425"/>
      <c r="AR2" s="425"/>
    </row>
    <row r="3" spans="1:44" ht="21" hidden="1" customHeight="1">
      <c r="A3" s="1281"/>
      <c r="B3" s="1281"/>
      <c r="C3" s="1281"/>
      <c r="D3" s="1281"/>
      <c r="E3" s="2147"/>
      <c r="F3" s="2146">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40"/>
      <c r="W3" s="2141"/>
      <c r="X3" s="2141"/>
      <c r="Y3" s="2141"/>
      <c r="Z3" s="2141"/>
      <c r="AA3" s="2141"/>
      <c r="AB3" s="2141"/>
      <c r="AC3" s="2142"/>
      <c r="AD3" s="2140" t="e">
        <f>INDEX(PT_DIFFERENTIATION_TER,MATCH(B3,PT_DIFFERENTIATION_TER_ID,0))</f>
        <v>#N/A</v>
      </c>
      <c r="AE3" s="2141"/>
      <c r="AF3" s="2141"/>
      <c r="AG3" s="2141"/>
      <c r="AH3" s="2141"/>
      <c r="AI3" s="2141"/>
      <c r="AJ3" s="2141"/>
      <c r="AK3" s="2141"/>
      <c r="AL3" s="2142"/>
      <c r="AM3" s="1179" t="s">
        <v>368</v>
      </c>
      <c r="AO3" s="425"/>
      <c r="AP3" s="425" t="str">
        <f t="shared" si="0"/>
        <v>Территория действия тарифа</v>
      </c>
      <c r="AQ3" s="425"/>
      <c r="AR3" s="425"/>
    </row>
    <row r="4" spans="1:44" ht="23.25" hidden="1" customHeight="1">
      <c r="A4" s="1281"/>
      <c r="B4" s="1281"/>
      <c r="C4" s="1281"/>
      <c r="D4" s="1281"/>
      <c r="E4" s="2147"/>
      <c r="F4" s="2147"/>
      <c r="G4" s="2146">
        <v>1</v>
      </c>
      <c r="H4" s="1281"/>
      <c r="I4" s="1281"/>
      <c r="J4" s="1281"/>
      <c r="K4" s="1281"/>
      <c r="L4" s="1282"/>
      <c r="M4" s="1283"/>
      <c r="N4" s="1283"/>
      <c r="O4" s="1283"/>
      <c r="P4" s="278"/>
      <c r="Q4" s="276"/>
      <c r="R4" s="277"/>
      <c r="S4" s="1255" t="e">
        <f>INDEX(PT_DIFFERENTIATION_NUM_CS,MATCH(C4,PT_DIFFERENTIATION_CS_ID,0))</f>
        <v>#N/A</v>
      </c>
      <c r="T4" s="228" t="s">
        <v>369</v>
      </c>
      <c r="U4" s="217"/>
      <c r="V4" s="2140"/>
      <c r="W4" s="2141"/>
      <c r="X4" s="2141"/>
      <c r="Y4" s="2141"/>
      <c r="Z4" s="2141"/>
      <c r="AA4" s="2141"/>
      <c r="AB4" s="2141"/>
      <c r="AC4" s="2142"/>
      <c r="AD4" s="2140" t="e">
        <f>INDEX(PT_DIFFERENTIATION_CS,MATCH(C4,PT_DIFFERENTIATION_CS_ID,0))</f>
        <v>#N/A</v>
      </c>
      <c r="AE4" s="2141"/>
      <c r="AF4" s="2141"/>
      <c r="AG4" s="2141"/>
      <c r="AH4" s="2141"/>
      <c r="AI4" s="2141"/>
      <c r="AJ4" s="2141"/>
      <c r="AK4" s="2141"/>
      <c r="AL4" s="2142"/>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7"/>
      <c r="F5" s="2147"/>
      <c r="G5" s="2147"/>
      <c r="H5" s="2146">
        <v>1</v>
      </c>
      <c r="I5" s="1281"/>
      <c r="J5" s="1281"/>
      <c r="K5" s="1281"/>
      <c r="L5" s="1282"/>
      <c r="M5" s="1283"/>
      <c r="N5" s="1283"/>
      <c r="O5" s="1283"/>
      <c r="P5" s="278"/>
      <c r="Q5" s="276"/>
      <c r="R5" s="277"/>
      <c r="S5" s="1255" t="e">
        <f>INDEX(PT_DIFFERENTIATION_NUM_IST_TE,MATCH(D5,PT_DIFFERENTIATION_IST_TE_ID,0))</f>
        <v>#N/A</v>
      </c>
      <c r="T5" s="229" t="s">
        <v>371</v>
      </c>
      <c r="U5" s="217"/>
      <c r="V5" s="2140"/>
      <c r="W5" s="2141"/>
      <c r="X5" s="2141"/>
      <c r="Y5" s="2141"/>
      <c r="Z5" s="2141"/>
      <c r="AA5" s="2141"/>
      <c r="AB5" s="2141"/>
      <c r="AC5" s="2142"/>
      <c r="AD5" s="2140" t="e">
        <f>INDEX(PT_DIFFERENTIATION_IST_TE,MATCH(D5,PT_DIFFERENTIATION_IST_TE_ID,0))</f>
        <v>#N/A</v>
      </c>
      <c r="AE5" s="2141"/>
      <c r="AF5" s="2141"/>
      <c r="AG5" s="2141"/>
      <c r="AH5" s="2141"/>
      <c r="AI5" s="2141"/>
      <c r="AJ5" s="2141"/>
      <c r="AK5" s="2141"/>
      <c r="AL5" s="2142"/>
      <c r="AM5" s="1179" t="s">
        <v>372</v>
      </c>
      <c r="AO5" s="425"/>
      <c r="AP5" s="425" t="str">
        <f t="shared" si="0"/>
        <v xml:space="preserve">Источник тепловой энергии  </v>
      </c>
      <c r="AQ5" s="425"/>
      <c r="AR5" s="425"/>
    </row>
    <row r="6" spans="1:44" ht="47.25" hidden="1" customHeight="1">
      <c r="A6" s="1281"/>
      <c r="B6" s="1281"/>
      <c r="C6" s="1281"/>
      <c r="D6" s="1281"/>
      <c r="E6" s="2147"/>
      <c r="F6" s="2147"/>
      <c r="G6" s="2147"/>
      <c r="H6" s="2147"/>
      <c r="I6" s="2148" t="e">
        <f>S5&amp;".1"</f>
        <v>#N/A</v>
      </c>
      <c r="J6" s="1281"/>
      <c r="K6" s="1281"/>
      <c r="L6" s="1282" t="s">
        <v>373</v>
      </c>
      <c r="M6" s="461"/>
      <c r="P6" s="2150">
        <v>1</v>
      </c>
      <c r="Q6" s="1250"/>
      <c r="R6" s="280"/>
      <c r="S6" s="1255" t="e">
        <f>$I6</f>
        <v>#N/A</v>
      </c>
      <c r="T6" s="202" t="s">
        <v>374</v>
      </c>
      <c r="U6" s="217"/>
      <c r="V6" s="2134"/>
      <c r="W6" s="2135"/>
      <c r="X6" s="2135"/>
      <c r="Y6" s="2135"/>
      <c r="Z6" s="2135"/>
      <c r="AA6" s="2135"/>
      <c r="AB6" s="2135"/>
      <c r="AC6" s="2136"/>
      <c r="AD6" s="2134"/>
      <c r="AE6" s="2135"/>
      <c r="AF6" s="2135"/>
      <c r="AG6" s="2135"/>
      <c r="AH6" s="2135"/>
      <c r="AI6" s="2135"/>
      <c r="AJ6" s="2135"/>
      <c r="AK6" s="2135"/>
      <c r="AL6" s="2136"/>
      <c r="AM6" s="1179" t="s">
        <v>375</v>
      </c>
      <c r="AO6" s="425"/>
      <c r="AP6" s="425" t="str">
        <f t="shared" si="0"/>
        <v>Схема подключения теплопотребляющей установки к коллектору источника тепловой энергии</v>
      </c>
      <c r="AQ6" s="425"/>
      <c r="AR6" s="425"/>
    </row>
    <row r="7" spans="1:44" ht="21" hidden="1" customHeight="1">
      <c r="A7" s="1281"/>
      <c r="B7" s="1281"/>
      <c r="C7" s="1281"/>
      <c r="D7" s="1281"/>
      <c r="E7" s="2147"/>
      <c r="F7" s="2147"/>
      <c r="G7" s="2147"/>
      <c r="H7" s="2147"/>
      <c r="I7" s="2149"/>
      <c r="J7" s="2148" t="e">
        <f>I6&amp;".1"</f>
        <v>#N/A</v>
      </c>
      <c r="K7" s="1281"/>
      <c r="L7" s="1282" t="s">
        <v>376</v>
      </c>
      <c r="M7" s="461"/>
      <c r="N7" s="1284"/>
      <c r="P7" s="2150"/>
      <c r="Q7" s="2150">
        <v>1</v>
      </c>
      <c r="R7" s="281"/>
      <c r="S7" s="1255" t="e">
        <f>$J7</f>
        <v>#N/A</v>
      </c>
      <c r="T7" s="203" t="s">
        <v>377</v>
      </c>
      <c r="U7" s="217"/>
      <c r="V7" s="2134"/>
      <c r="W7" s="2135"/>
      <c r="X7" s="2135"/>
      <c r="Y7" s="2135"/>
      <c r="Z7" s="2135"/>
      <c r="AA7" s="2135"/>
      <c r="AB7" s="2135"/>
      <c r="AC7" s="2136"/>
      <c r="AD7" s="2134"/>
      <c r="AE7" s="2135"/>
      <c r="AF7" s="2135"/>
      <c r="AG7" s="2135"/>
      <c r="AH7" s="2135"/>
      <c r="AI7" s="2135"/>
      <c r="AJ7" s="2135"/>
      <c r="AK7" s="2135"/>
      <c r="AL7" s="2136"/>
      <c r="AM7" s="1179" t="s">
        <v>378</v>
      </c>
      <c r="AO7" s="425"/>
      <c r="AP7" s="425" t="str">
        <f t="shared" si="0"/>
        <v>Группа потребителей</v>
      </c>
      <c r="AQ7" s="425"/>
      <c r="AR7" s="425"/>
    </row>
    <row r="8" spans="1:44" ht="21" hidden="1" customHeight="1">
      <c r="A8" s="1281"/>
      <c r="B8" s="1281"/>
      <c r="C8" s="1281"/>
      <c r="D8" s="1281"/>
      <c r="E8" s="2147"/>
      <c r="F8" s="2147"/>
      <c r="G8" s="2147"/>
      <c r="H8" s="2147"/>
      <c r="I8" s="2149"/>
      <c r="J8" s="2149"/>
      <c r="K8" s="2148" t="e">
        <f>J7&amp;".1"</f>
        <v>#N/A</v>
      </c>
      <c r="L8" s="1282" t="s">
        <v>379</v>
      </c>
      <c r="M8" s="461"/>
      <c r="N8" s="1284"/>
      <c r="O8" s="1284"/>
      <c r="P8" s="2150"/>
      <c r="Q8" s="2150"/>
      <c r="R8" s="281">
        <v>1</v>
      </c>
      <c r="S8" s="1255" t="e">
        <f>$K8</f>
        <v>#N/A</v>
      </c>
      <c r="T8" s="1266"/>
      <c r="U8" s="217"/>
      <c r="V8" s="668"/>
      <c r="W8" s="249"/>
      <c r="X8" s="668"/>
      <c r="Y8" s="1178"/>
      <c r="Z8" s="2151"/>
      <c r="AA8" s="2029" t="s">
        <v>50</v>
      </c>
      <c r="AB8" s="2151"/>
      <c r="AC8" s="2029" t="s">
        <v>50</v>
      </c>
      <c r="AD8" s="668"/>
      <c r="AE8" s="249"/>
      <c r="AF8" s="668"/>
      <c r="AG8" s="1178"/>
      <c r="AH8" s="2151"/>
      <c r="AI8" s="2029" t="s">
        <v>50</v>
      </c>
      <c r="AJ8" s="2151"/>
      <c r="AK8" s="2029" t="s">
        <v>50</v>
      </c>
      <c r="AL8" s="249"/>
      <c r="AM8" s="2169" t="s">
        <v>380</v>
      </c>
      <c r="AN8" s="436" t="e">
        <f ca="1">STRCHECKDATE(V9:AL9)</f>
        <v>#NAME?</v>
      </c>
      <c r="AO8" s="425"/>
      <c r="AP8" s="425" t="str">
        <f t="shared" si="0"/>
        <v/>
      </c>
      <c r="AQ8" s="425"/>
      <c r="AR8" s="425"/>
    </row>
    <row r="9" spans="1:44" ht="0.75" hidden="1" customHeight="1">
      <c r="A9" s="1281"/>
      <c r="B9" s="1281"/>
      <c r="C9" s="1281"/>
      <c r="D9" s="1281"/>
      <c r="E9" s="2147"/>
      <c r="F9" s="2147"/>
      <c r="G9" s="2147"/>
      <c r="H9" s="2147"/>
      <c r="I9" s="2149"/>
      <c r="J9" s="2149"/>
      <c r="K9" s="2148"/>
      <c r="L9" s="1282"/>
      <c r="M9" s="461"/>
      <c r="N9" s="1284"/>
      <c r="O9" s="1284"/>
      <c r="P9" s="2150"/>
      <c r="Q9" s="2150"/>
      <c r="R9" s="281"/>
      <c r="S9" s="1261"/>
      <c r="T9" s="217"/>
      <c r="U9" s="217"/>
      <c r="V9" s="249"/>
      <c r="W9" s="249"/>
      <c r="X9" s="249"/>
      <c r="Y9" s="253" t="str">
        <f>Z8&amp;"-"&amp;AB8</f>
        <v>-</v>
      </c>
      <c r="Z9" s="2152"/>
      <c r="AA9" s="2029"/>
      <c r="AB9" s="2152"/>
      <c r="AC9" s="2029"/>
      <c r="AD9" s="249"/>
      <c r="AE9" s="249"/>
      <c r="AF9" s="249"/>
      <c r="AG9" s="253" t="str">
        <f>AH8&amp;"-"&amp;AJ8</f>
        <v>-</v>
      </c>
      <c r="AH9" s="2152"/>
      <c r="AI9" s="2029"/>
      <c r="AJ9" s="2152"/>
      <c r="AK9" s="2029"/>
      <c r="AL9" s="249"/>
      <c r="AM9" s="2170"/>
      <c r="AO9" s="425"/>
      <c r="AP9" s="425" t="str">
        <f t="shared" si="0"/>
        <v/>
      </c>
      <c r="AQ9" s="425"/>
      <c r="AR9" s="425"/>
    </row>
    <row r="10" spans="1:44" ht="15" hidden="1" customHeight="1">
      <c r="A10" s="1281"/>
      <c r="B10" s="1281"/>
      <c r="C10" s="1281"/>
      <c r="D10" s="1281"/>
      <c r="E10" s="2147"/>
      <c r="F10" s="2147"/>
      <c r="G10" s="2147"/>
      <c r="H10" s="2147"/>
      <c r="I10" s="2149"/>
      <c r="J10" s="2148"/>
      <c r="K10" s="1281"/>
      <c r="L10" s="1282"/>
      <c r="M10" s="461"/>
      <c r="N10" s="1284"/>
      <c r="P10" s="2150"/>
      <c r="Q10" s="2150"/>
      <c r="R10" s="280"/>
      <c r="S10" s="1200"/>
      <c r="T10" s="205" t="s">
        <v>381</v>
      </c>
      <c r="U10" s="294"/>
      <c r="V10" s="294"/>
      <c r="W10" s="294"/>
      <c r="X10" s="294"/>
      <c r="Y10" s="294"/>
      <c r="Z10" s="294"/>
      <c r="AA10" s="294"/>
      <c r="AB10" s="294"/>
      <c r="AC10" s="294"/>
      <c r="AD10" s="294"/>
      <c r="AE10" s="294"/>
      <c r="AF10" s="294"/>
      <c r="AG10" s="294"/>
      <c r="AH10" s="294"/>
      <c r="AI10" s="294"/>
      <c r="AJ10" s="294"/>
      <c r="AK10" s="294"/>
      <c r="AL10" s="248"/>
      <c r="AM10" s="2171"/>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7"/>
      <c r="F11" s="2147"/>
      <c r="G11" s="2147"/>
      <c r="H11" s="2147"/>
      <c r="I11" s="2148"/>
      <c r="J11" s="1281"/>
      <c r="K11" s="1281"/>
      <c r="L11" s="1282"/>
      <c r="M11" s="461"/>
      <c r="P11" s="2150"/>
      <c r="Q11" s="1250"/>
      <c r="R11" s="280"/>
      <c r="S11" s="1200"/>
      <c r="T11" s="204"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7"/>
      <c r="F12" s="2147"/>
      <c r="G12" s="2147"/>
      <c r="H12" s="2146"/>
      <c r="I12" s="1281"/>
      <c r="J12" s="1281"/>
      <c r="K12" s="1281"/>
      <c r="L12" s="1282"/>
      <c r="M12" s="1283"/>
      <c r="N12" s="1283"/>
      <c r="O12" s="461"/>
      <c r="P12" s="284"/>
      <c r="Q12" s="303"/>
      <c r="R12" s="279"/>
      <c r="S12" s="1200"/>
      <c r="T12" s="291" t="s">
        <v>383</v>
      </c>
      <c r="U12" s="294"/>
      <c r="V12" s="294"/>
      <c r="W12" s="294"/>
      <c r="X12" s="294"/>
      <c r="Y12" s="294"/>
      <c r="Z12" s="294"/>
      <c r="AA12" s="294"/>
      <c r="AB12" s="294"/>
      <c r="AC12" s="293"/>
      <c r="AD12" s="294"/>
      <c r="AE12" s="294"/>
      <c r="AF12" s="294"/>
      <c r="AG12" s="294"/>
      <c r="AH12" s="294"/>
      <c r="AI12" s="294"/>
      <c r="AJ12" s="294"/>
      <c r="AK12" s="293"/>
      <c r="AL12" s="294"/>
      <c r="AM12" s="220"/>
      <c r="AO12" s="425"/>
      <c r="AP12" s="425" t="str">
        <f t="shared" si="0"/>
        <v>Добавить схему подключения</v>
      </c>
      <c r="AQ12" s="425"/>
      <c r="AR12" s="425"/>
    </row>
    <row r="13" spans="1:44" s="1881" customFormat="1" ht="0.75" hidden="1" customHeight="1">
      <c r="A13" s="1234"/>
      <c r="B13" s="1234"/>
      <c r="C13" s="1234"/>
      <c r="D13" s="1234"/>
      <c r="E13" s="2147"/>
      <c r="F13" s="2147"/>
      <c r="G13" s="2146"/>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7"/>
      <c r="F14" s="2146"/>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6"/>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44"/>
      <c r="AI17" s="2143" t="s">
        <v>50</v>
      </c>
      <c r="AJ17" s="2144"/>
      <c r="AK17" s="2143" t="s">
        <v>50</v>
      </c>
    </row>
    <row r="18" spans="1:44" ht="14.25" hidden="1" customHeight="1">
      <c r="AD18" s="1278"/>
      <c r="AE18" s="1278"/>
      <c r="AF18" s="1278"/>
      <c r="AG18" s="253" t="str">
        <f>AH17&amp;"-"&amp;AJ17</f>
        <v>-</v>
      </c>
      <c r="AH18" s="2143"/>
      <c r="AI18" s="2143"/>
      <c r="AJ18" s="2143"/>
      <c r="AK18" s="214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14.25" customHeight="1">
      <c r="Q26" s="304"/>
      <c r="R26" s="304"/>
      <c r="S26" s="212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27"/>
      <c r="U26" s="2127"/>
      <c r="V26" s="2127"/>
      <c r="W26" s="2127"/>
      <c r="X26" s="2127"/>
      <c r="Y26" s="2127"/>
      <c r="Z26" s="2127"/>
      <c r="AA26" s="2127"/>
      <c r="AB26" s="2127"/>
      <c r="AC26" s="2127"/>
      <c r="AD26" s="2127"/>
      <c r="AE26" s="2127"/>
      <c r="AF26" s="2127"/>
      <c r="AG26" s="2127"/>
      <c r="AH26" s="2127"/>
      <c r="AI26" s="2127"/>
      <c r="AJ26" s="2127"/>
      <c r="AK26" s="1154"/>
    </row>
    <row r="27" spans="1:44" ht="14.25" customHeight="1">
      <c r="Q27" s="304"/>
      <c r="R27" s="304"/>
      <c r="S27" s="2098" t="str">
        <f>IF(org=0,"Не определено",org)</f>
        <v>ООО "Горводоканал"</v>
      </c>
      <c r="T27" s="2098"/>
      <c r="U27" s="2098"/>
      <c r="V27" s="2098"/>
      <c r="W27" s="2098"/>
      <c r="X27" s="2098"/>
      <c r="Y27" s="2098"/>
      <c r="Z27" s="2098"/>
      <c r="AA27" s="2098"/>
      <c r="AB27" s="2098"/>
      <c r="AC27" s="2098"/>
      <c r="AD27" s="2098"/>
      <c r="AE27" s="2098"/>
      <c r="AF27" s="2098"/>
      <c r="AG27" s="2098"/>
      <c r="AH27" s="2098"/>
      <c r="AI27" s="2098"/>
      <c r="AJ27" s="2098"/>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7" t="s">
        <v>37</v>
      </c>
      <c r="T29" s="2137"/>
      <c r="U29" s="1290"/>
      <c r="V29" s="2139" t="str">
        <f>IF(TITLE_NAME_OR_PR_CHANGE="",IF(TITLE_NAME_OR_PR="","",TITLE_NAME_OR_PR),TITLE_NAME_OR_PR_CHANGE)</f>
        <v/>
      </c>
      <c r="W29" s="2139"/>
      <c r="X29" s="2139"/>
      <c r="Y29" s="2139"/>
      <c r="Z29" s="2139"/>
      <c r="AA29" s="2139"/>
      <c r="AB29" s="2139"/>
      <c r="AC29" s="251"/>
      <c r="AD29" s="2139" t="str">
        <f>IF(TITLE_NAME_OR_PR_CHANGE="",IF(TITLE_NAME_OR_PR="","",TITLE_NAME_OR_PR),TITLE_NAME_OR_PR_CHANGE)</f>
        <v/>
      </c>
      <c r="AE29" s="2139"/>
      <c r="AF29" s="2139"/>
      <c r="AG29" s="2139"/>
      <c r="AH29" s="2139"/>
      <c r="AI29" s="2139"/>
      <c r="AJ29" s="2139"/>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7" t="s">
        <v>393</v>
      </c>
      <c r="T30" s="2137"/>
      <c r="U30" s="1290"/>
      <c r="V30" s="2138" t="str">
        <f>IF(TITLE_DATE_PR_CHANGE="",IF(TITLE_DATE_PR="","",TITLE_DATE_PR),TITLE_DATE_PR_CHANGE)</f>
        <v/>
      </c>
      <c r="W30" s="2138"/>
      <c r="X30" s="2138"/>
      <c r="Y30" s="2138"/>
      <c r="Z30" s="2138"/>
      <c r="AA30" s="2138"/>
      <c r="AB30" s="2138"/>
      <c r="AC30" s="251"/>
      <c r="AD30" s="2138" t="str">
        <f>IF(TITLE_DATE_PR_CHANGE="",IF(TITLE_DATE_PR="","",TITLE_DATE_PR),TITLE_DATE_PR_CHANGE)</f>
        <v/>
      </c>
      <c r="AE30" s="2138"/>
      <c r="AF30" s="2138"/>
      <c r="AG30" s="2138"/>
      <c r="AH30" s="2138"/>
      <c r="AI30" s="2138"/>
      <c r="AJ30" s="2138"/>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7" t="s">
        <v>394</v>
      </c>
      <c r="T31" s="2137"/>
      <c r="U31" s="1290"/>
      <c r="V31" s="2139" t="str">
        <f>IF(TITLE_NUMBER_PR_CHANGE="",IF(TITLE_NUMBER_PR="","",TITLE_NUMBER_PR),TITLE_NUMBER_PR_CHANGE)</f>
        <v/>
      </c>
      <c r="W31" s="2139"/>
      <c r="X31" s="2139"/>
      <c r="Y31" s="2139"/>
      <c r="Z31" s="2139"/>
      <c r="AA31" s="2139"/>
      <c r="AB31" s="2139"/>
      <c r="AC31" s="251"/>
      <c r="AD31" s="2139" t="str">
        <f>IF(TITLE_NUMBER_PR_CHANGE="",IF(TITLE_NUMBER_PR="","",TITLE_NUMBER_PR),TITLE_NUMBER_PR_CHANGE)</f>
        <v/>
      </c>
      <c r="AE31" s="2139"/>
      <c r="AF31" s="2139"/>
      <c r="AG31" s="2139"/>
      <c r="AH31" s="2139"/>
      <c r="AI31" s="2139"/>
      <c r="AJ31" s="2139"/>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7" t="s">
        <v>38</v>
      </c>
      <c r="T32" s="2137"/>
      <c r="U32" s="1290"/>
      <c r="V32" s="2139" t="str">
        <f>IF(TITLE_IST_PUB_CHANGE="",IF(TITLE_IST_PUB="","",TITLE_IST_PUB),TITLE_IST_PUB_CHANGE)</f>
        <v/>
      </c>
      <c r="W32" s="2139"/>
      <c r="X32" s="2139"/>
      <c r="Y32" s="2139"/>
      <c r="Z32" s="2139"/>
      <c r="AA32" s="2139"/>
      <c r="AB32" s="2139"/>
      <c r="AC32" s="251"/>
      <c r="AD32" s="2139" t="str">
        <f>IF(TITLE_IST_PUB_CHANGE="",IF(TITLE_IST_PUB="","",TITLE_IST_PUB),TITLE_IST_PUB_CHANGE)</f>
        <v/>
      </c>
      <c r="AE32" s="2139"/>
      <c r="AF32" s="2139"/>
      <c r="AG32" s="2139"/>
      <c r="AH32" s="2139"/>
      <c r="AI32" s="2139"/>
      <c r="AJ32" s="2139"/>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7" t="s">
        <v>395</v>
      </c>
      <c r="T34" s="2137"/>
      <c r="U34" s="1290"/>
      <c r="V34" s="2138" t="str">
        <f>IF(TITLE_DATE_PR_CHANGE="",IF(TITLE_DATE_PR="","",TITLE_DATE_PR),TITLE_DATE_PR_CHANGE)</f>
        <v/>
      </c>
      <c r="W34" s="2138"/>
      <c r="X34" s="2138"/>
      <c r="Y34" s="2138"/>
      <c r="Z34" s="2138"/>
      <c r="AA34" s="2138"/>
      <c r="AB34" s="2138"/>
      <c r="AC34" s="251"/>
      <c r="AD34" s="2138" t="str">
        <f>IF(TITLE_DATE_PR_CHANGE="",IF(TITLE_DATE_PR="","",TITLE_DATE_PR),TITLE_DATE_PR_CHANGE)</f>
        <v/>
      </c>
      <c r="AE34" s="2138"/>
      <c r="AF34" s="2138"/>
      <c r="AG34" s="2138"/>
      <c r="AH34" s="2138"/>
      <c r="AI34" s="2138"/>
      <c r="AJ34" s="2138"/>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7" t="s">
        <v>396</v>
      </c>
      <c r="T35" s="2137"/>
      <c r="U35" s="1290"/>
      <c r="V35" s="2139" t="str">
        <f>IF(TITLE_NUMBER_PR_CHANGE="",IF(TITLE_NUMBER_PR="","",TITLE_NUMBER_PR),TITLE_NUMBER_PR_CHANGE)</f>
        <v/>
      </c>
      <c r="W35" s="2139"/>
      <c r="X35" s="2139"/>
      <c r="Y35" s="2139"/>
      <c r="Z35" s="2139"/>
      <c r="AA35" s="2139"/>
      <c r="AB35" s="2139"/>
      <c r="AC35" s="251"/>
      <c r="AD35" s="2139" t="str">
        <f>IF(TITLE_NUMBER_PR_CHANGE="",IF(TITLE_NUMBER_PR="","",TITLE_NUMBER_PR),TITLE_NUMBER_PR_CHANGE)</f>
        <v/>
      </c>
      <c r="AE35" s="2139"/>
      <c r="AF35" s="2139"/>
      <c r="AG35" s="2139"/>
      <c r="AH35" s="2139"/>
      <c r="AI35" s="2139"/>
      <c r="AJ35" s="2139"/>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58"/>
      <c r="W37" s="2158"/>
      <c r="X37" s="2158"/>
      <c r="Y37" s="2158"/>
      <c r="Z37" s="2158"/>
      <c r="AA37" s="2158"/>
      <c r="AB37" s="2158"/>
      <c r="AC37" s="2158"/>
      <c r="AD37" s="2158"/>
      <c r="AE37" s="2158"/>
      <c r="AF37" s="2158"/>
      <c r="AG37" s="2158"/>
      <c r="AH37" s="2158"/>
      <c r="AI37" s="2158"/>
      <c r="AJ37" s="2158"/>
      <c r="AK37" s="2158"/>
    </row>
    <row r="38" spans="1:44" ht="14.25" customHeight="1">
      <c r="Q38" s="304"/>
      <c r="R38" s="304"/>
      <c r="S38" s="2019" t="s">
        <v>268</v>
      </c>
      <c r="T38" s="2019"/>
      <c r="U38" s="2019"/>
      <c r="V38" s="2019"/>
      <c r="W38" s="2019"/>
      <c r="X38" s="2019"/>
      <c r="Y38" s="2019"/>
      <c r="Z38" s="2019"/>
      <c r="AA38" s="2019"/>
      <c r="AB38" s="2019"/>
      <c r="AC38" s="2019"/>
      <c r="AD38" s="2019"/>
      <c r="AE38" s="2019"/>
      <c r="AF38" s="2019"/>
      <c r="AG38" s="2019"/>
      <c r="AH38" s="2019"/>
      <c r="AI38" s="2019"/>
      <c r="AJ38" s="2019"/>
      <c r="AK38" s="2019"/>
      <c r="AL38" s="2019"/>
      <c r="AM38" s="2019" t="s">
        <v>269</v>
      </c>
    </row>
    <row r="39" spans="1:44" ht="14.25" customHeight="1">
      <c r="Q39" s="304"/>
      <c r="R39" s="304"/>
      <c r="S39" s="2159" t="s">
        <v>73</v>
      </c>
      <c r="T39" s="2107" t="s">
        <v>398</v>
      </c>
      <c r="U39" s="218"/>
      <c r="V39" s="2160" t="s">
        <v>399</v>
      </c>
      <c r="W39" s="2161"/>
      <c r="X39" s="2161"/>
      <c r="Y39" s="2161"/>
      <c r="Z39" s="2161"/>
      <c r="AA39" s="2161"/>
      <c r="AB39" s="2162"/>
      <c r="AC39" s="2163" t="s">
        <v>400</v>
      </c>
      <c r="AD39" s="2160" t="s">
        <v>399</v>
      </c>
      <c r="AE39" s="2161"/>
      <c r="AF39" s="2161"/>
      <c r="AG39" s="2161"/>
      <c r="AH39" s="2161"/>
      <c r="AI39" s="2161"/>
      <c r="AJ39" s="2162"/>
      <c r="AK39" s="2163" t="s">
        <v>401</v>
      </c>
      <c r="AL39" s="2166" t="s">
        <v>402</v>
      </c>
      <c r="AM39" s="2019"/>
    </row>
    <row r="40" spans="1:44" ht="33.75" customHeight="1">
      <c r="Q40" s="304"/>
      <c r="R40" s="304"/>
      <c r="S40" s="2159"/>
      <c r="T40" s="2107"/>
      <c r="U40" s="940"/>
      <c r="V40" s="2076" t="s">
        <v>403</v>
      </c>
      <c r="W40" s="2155" t="s">
        <v>404</v>
      </c>
      <c r="X40" s="2001" t="s">
        <v>405</v>
      </c>
      <c r="Y40" s="2000"/>
      <c r="Z40" s="2001" t="s">
        <v>419</v>
      </c>
      <c r="AA40" s="2006"/>
      <c r="AB40" s="2000"/>
      <c r="AC40" s="2164"/>
      <c r="AD40" s="2076" t="s">
        <v>403</v>
      </c>
      <c r="AE40" s="2155" t="s">
        <v>404</v>
      </c>
      <c r="AF40" s="2001" t="s">
        <v>405</v>
      </c>
      <c r="AG40" s="2000"/>
      <c r="AH40" s="2001" t="s">
        <v>406</v>
      </c>
      <c r="AI40" s="2006"/>
      <c r="AJ40" s="2000"/>
      <c r="AK40" s="2164"/>
      <c r="AL40" s="2167"/>
      <c r="AM40" s="2019"/>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9"/>
      <c r="T41" s="2107"/>
      <c r="U41" s="219"/>
      <c r="V41" s="2132"/>
      <c r="W41" s="2156"/>
      <c r="X41" s="1130" t="s">
        <v>414</v>
      </c>
      <c r="Y41" s="1130" t="s">
        <v>415</v>
      </c>
      <c r="Z41" s="1257" t="s">
        <v>416</v>
      </c>
      <c r="AA41" s="2112" t="s">
        <v>417</v>
      </c>
      <c r="AB41" s="2126"/>
      <c r="AC41" s="2165"/>
      <c r="AD41" s="2132"/>
      <c r="AE41" s="2156"/>
      <c r="AF41" s="1130" t="s">
        <v>414</v>
      </c>
      <c r="AG41" s="1130" t="s">
        <v>415</v>
      </c>
      <c r="AH41" s="1257" t="s">
        <v>416</v>
      </c>
      <c r="AI41" s="2112" t="s">
        <v>417</v>
      </c>
      <c r="AJ41" s="2126"/>
      <c r="AK41" s="2165"/>
      <c r="AL41" s="2168"/>
      <c r="AM41" s="2019"/>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7">
        <f ca="1">OFFSET(AA42,0,-1)+1</f>
        <v>4</v>
      </c>
      <c r="AB42" s="2157"/>
      <c r="AC42" s="1254">
        <f ca="1">OFFSET(AC42,0,-2)+1</f>
        <v>5</v>
      </c>
      <c r="AD42" s="1254">
        <f ca="1">OFFSET(AD42,0,-1)+1</f>
        <v>6</v>
      </c>
      <c r="AE42" s="1254"/>
      <c r="AF42" s="1254">
        <f ca="1">OFFSET(AF42,0,-1)+1</f>
        <v>1</v>
      </c>
      <c r="AG42" s="1254">
        <f ca="1">OFFSET(AG42,0,-1)+1</f>
        <v>2</v>
      </c>
      <c r="AH42" s="1254">
        <f ca="1">OFFSET(AH42,0,-1)+1</f>
        <v>3</v>
      </c>
      <c r="AI42" s="2157">
        <f ca="1">OFFSET(AI42,0,-1)+1</f>
        <v>4</v>
      </c>
      <c r="AJ42" s="2157"/>
      <c r="AK42" s="1254">
        <f ca="1">OFFSET(AK42,0,-2)+1</f>
        <v>5</v>
      </c>
      <c r="AL42" s="1156">
        <f ca="1">OFFSET(AL42,0,-1)</f>
        <v>5</v>
      </c>
      <c r="AM42" s="1254">
        <f ca="1">OFFSET(AM42,0,-1)+1</f>
        <v>6</v>
      </c>
      <c r="AN42" s="436"/>
      <c r="AO42" s="436"/>
      <c r="AP42" s="436"/>
      <c r="AQ42" s="436"/>
      <c r="AR42" s="436"/>
    </row>
    <row r="43" spans="1:44" ht="21" customHeight="1">
      <c r="A43" s="1281" t="s">
        <v>144</v>
      </c>
      <c r="B43" s="1281"/>
      <c r="C43" s="1281"/>
      <c r="D43" s="1281"/>
      <c r="E43" s="2146">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40"/>
      <c r="W43" s="2141"/>
      <c r="X43" s="2141"/>
      <c r="Y43" s="2141"/>
      <c r="Z43" s="2141"/>
      <c r="AA43" s="2141"/>
      <c r="AB43" s="2141"/>
      <c r="AC43" s="2142"/>
      <c r="AD43" s="2140" t="str">
        <f>INDEX(PT_DIFFERENTIATION_NTAR,MATCH(A43,PT_DIFFERENTIATION_NTAR_ID,0))</f>
        <v/>
      </c>
      <c r="AE43" s="2141"/>
      <c r="AF43" s="2141"/>
      <c r="AG43" s="2141"/>
      <c r="AH43" s="2141"/>
      <c r="AI43" s="2141"/>
      <c r="AJ43" s="2141"/>
      <c r="AK43" s="2141"/>
      <c r="AL43" s="2142"/>
      <c r="AM43" s="11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144</v>
      </c>
      <c r="B44" s="1281" t="s">
        <v>145</v>
      </c>
      <c r="C44" s="1281"/>
      <c r="D44" s="1281"/>
      <c r="E44" s="2147"/>
      <c r="F44" s="2146">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40"/>
      <c r="W44" s="2141"/>
      <c r="X44" s="2141"/>
      <c r="Y44" s="2141"/>
      <c r="Z44" s="2141"/>
      <c r="AA44" s="2141"/>
      <c r="AB44" s="2141"/>
      <c r="AC44" s="2142"/>
      <c r="AD44" s="2140" t="str">
        <f>INDEX(PT_DIFFERENTIATION_TER,MATCH(B44,PT_DIFFERENTIATION_TER_ID,0))</f>
        <v/>
      </c>
      <c r="AE44" s="2141"/>
      <c r="AF44" s="2141"/>
      <c r="AG44" s="2141"/>
      <c r="AH44" s="2141"/>
      <c r="AI44" s="2141"/>
      <c r="AJ44" s="2141"/>
      <c r="AK44" s="2141"/>
      <c r="AL44" s="2142"/>
      <c r="AM44" s="1179" t="s">
        <v>368</v>
      </c>
      <c r="AO44" s="425"/>
      <c r="AP44" s="425" t="str">
        <f t="shared" si="1"/>
        <v>Территория действия тарифа</v>
      </c>
      <c r="AQ44" s="425"/>
      <c r="AR44" s="425"/>
    </row>
    <row r="45" spans="1:44" ht="23.25" customHeight="1">
      <c r="A45" s="1281" t="s">
        <v>144</v>
      </c>
      <c r="B45" s="1281" t="s">
        <v>145</v>
      </c>
      <c r="C45" s="1281" t="s">
        <v>146</v>
      </c>
      <c r="D45" s="1281"/>
      <c r="E45" s="2147"/>
      <c r="F45" s="2147"/>
      <c r="G45" s="2146">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40"/>
      <c r="W45" s="2141"/>
      <c r="X45" s="2141"/>
      <c r="Y45" s="2141"/>
      <c r="Z45" s="2141"/>
      <c r="AA45" s="2141"/>
      <c r="AB45" s="2141"/>
      <c r="AC45" s="2142"/>
      <c r="AD45" s="2140" t="str">
        <f>INDEX(PT_DIFFERENTIATION_CS,MATCH(C45,PT_DIFFERENTIATION_CS_ID,0))</f>
        <v/>
      </c>
      <c r="AE45" s="2141"/>
      <c r="AF45" s="2141"/>
      <c r="AG45" s="2141"/>
      <c r="AH45" s="2141"/>
      <c r="AI45" s="2141"/>
      <c r="AJ45" s="2141"/>
      <c r="AK45" s="2141"/>
      <c r="AL45" s="2142"/>
      <c r="AM45" s="1179" t="s">
        <v>370</v>
      </c>
      <c r="AO45" s="425"/>
      <c r="AP45" s="425" t="str">
        <f t="shared" si="1"/>
        <v xml:space="preserve">Наименование системы теплоснабжения </v>
      </c>
      <c r="AQ45" s="425"/>
      <c r="AR45" s="425"/>
    </row>
    <row r="46" spans="1:44" ht="21" customHeight="1">
      <c r="A46" s="1281" t="s">
        <v>144</v>
      </c>
      <c r="B46" s="1281" t="s">
        <v>145</v>
      </c>
      <c r="C46" s="1281" t="s">
        <v>146</v>
      </c>
      <c r="D46" s="1281" t="s">
        <v>147</v>
      </c>
      <c r="E46" s="2147"/>
      <c r="F46" s="2147"/>
      <c r="G46" s="2147"/>
      <c r="H46" s="2146">
        <v>1</v>
      </c>
      <c r="I46" s="1281"/>
      <c r="J46" s="1281"/>
      <c r="K46" s="1281"/>
      <c r="L46" s="1282"/>
      <c r="M46" s="1283"/>
      <c r="N46" s="1283"/>
      <c r="O46" s="1283"/>
      <c r="P46" s="278"/>
      <c r="Q46" s="276"/>
      <c r="R46" s="277"/>
      <c r="S46" s="1255" t="str">
        <f>INDEX(PT_DIFFERENTIATION_NUM_IST_TE,MATCH(D46,PT_DIFFERENTIATION_IST_TE_ID,0))</f>
        <v>...</v>
      </c>
      <c r="T46" s="229" t="s">
        <v>371</v>
      </c>
      <c r="U46" s="217"/>
      <c r="V46" s="2140"/>
      <c r="W46" s="2141"/>
      <c r="X46" s="2141"/>
      <c r="Y46" s="2141"/>
      <c r="Z46" s="2141"/>
      <c r="AA46" s="2141"/>
      <c r="AB46" s="2141"/>
      <c r="AC46" s="2142"/>
      <c r="AD46" s="2140" t="str">
        <f>INDEX(PT_DIFFERENTIATION_IST_TE,MATCH(D46,PT_DIFFERENTIATION_IST_TE_ID,0))</f>
        <v/>
      </c>
      <c r="AE46" s="2141"/>
      <c r="AF46" s="2141"/>
      <c r="AG46" s="2141"/>
      <c r="AH46" s="2141"/>
      <c r="AI46" s="2141"/>
      <c r="AJ46" s="2141"/>
      <c r="AK46" s="2141"/>
      <c r="AL46" s="2142"/>
      <c r="AM46" s="1179" t="s">
        <v>372</v>
      </c>
      <c r="AO46" s="425"/>
      <c r="AP46" s="425" t="str">
        <f t="shared" si="1"/>
        <v xml:space="preserve">Источник тепловой энергии  </v>
      </c>
      <c r="AQ46" s="425"/>
      <c r="AR46" s="425"/>
    </row>
    <row r="47" spans="1:44" ht="47.25" customHeight="1">
      <c r="A47" s="1281" t="s">
        <v>144</v>
      </c>
      <c r="B47" s="1281" t="s">
        <v>145</v>
      </c>
      <c r="C47" s="1281" t="s">
        <v>146</v>
      </c>
      <c r="D47" s="1281" t="s">
        <v>147</v>
      </c>
      <c r="E47" s="2147"/>
      <c r="F47" s="2147"/>
      <c r="G47" s="2147"/>
      <c r="H47" s="2147"/>
      <c r="I47" s="2148" t="str">
        <f>S46&amp;".1"</f>
        <v>....1</v>
      </c>
      <c r="J47" s="1281"/>
      <c r="K47" s="1281"/>
      <c r="L47" s="1282" t="s">
        <v>373</v>
      </c>
      <c r="P47" s="2150">
        <v>1</v>
      </c>
      <c r="Q47" s="1250"/>
      <c r="R47" s="280"/>
      <c r="S47" s="1255" t="str">
        <f>$I47</f>
        <v>....1</v>
      </c>
      <c r="T47" s="202" t="s">
        <v>374</v>
      </c>
      <c r="U47" s="217"/>
      <c r="V47" s="2134"/>
      <c r="W47" s="2135"/>
      <c r="X47" s="2135"/>
      <c r="Y47" s="2135"/>
      <c r="Z47" s="2135"/>
      <c r="AA47" s="2135"/>
      <c r="AB47" s="2135"/>
      <c r="AC47" s="2136"/>
      <c r="AD47" s="2134"/>
      <c r="AE47" s="2135"/>
      <c r="AF47" s="2135"/>
      <c r="AG47" s="2135"/>
      <c r="AH47" s="2135"/>
      <c r="AI47" s="2135"/>
      <c r="AJ47" s="2135"/>
      <c r="AK47" s="2135"/>
      <c r="AL47" s="2136"/>
      <c r="AM47" s="1179" t="s">
        <v>375</v>
      </c>
      <c r="AO47" s="425"/>
      <c r="AP47" s="425" t="str">
        <f t="shared" si="1"/>
        <v>Схема подключения теплопотребляющей установки к коллектору источника тепловой энергии</v>
      </c>
      <c r="AQ47" s="425"/>
      <c r="AR47" s="425"/>
    </row>
    <row r="48" spans="1:44" ht="21" customHeight="1">
      <c r="A48" s="1281" t="s">
        <v>144</v>
      </c>
      <c r="B48" s="1281" t="s">
        <v>145</v>
      </c>
      <c r="C48" s="1281" t="s">
        <v>146</v>
      </c>
      <c r="D48" s="1281" t="s">
        <v>147</v>
      </c>
      <c r="E48" s="2147"/>
      <c r="F48" s="2147"/>
      <c r="G48" s="2147"/>
      <c r="H48" s="2147"/>
      <c r="I48" s="2149"/>
      <c r="J48" s="2148" t="str">
        <f>I47&amp;".1"</f>
        <v>....1.1</v>
      </c>
      <c r="K48" s="1281"/>
      <c r="L48" s="1282" t="s">
        <v>376</v>
      </c>
      <c r="P48" s="2150"/>
      <c r="Q48" s="2150">
        <v>1</v>
      </c>
      <c r="R48" s="281"/>
      <c r="S48" s="1255" t="str">
        <f>$J48</f>
        <v>....1.1</v>
      </c>
      <c r="T48" s="203" t="s">
        <v>377</v>
      </c>
      <c r="U48" s="217"/>
      <c r="V48" s="2134"/>
      <c r="W48" s="2135"/>
      <c r="X48" s="2135"/>
      <c r="Y48" s="2135"/>
      <c r="Z48" s="2135"/>
      <c r="AA48" s="2135"/>
      <c r="AB48" s="2135"/>
      <c r="AC48" s="2136"/>
      <c r="AD48" s="2134"/>
      <c r="AE48" s="2135"/>
      <c r="AF48" s="2135"/>
      <c r="AG48" s="2135"/>
      <c r="AH48" s="2135"/>
      <c r="AI48" s="2135"/>
      <c r="AJ48" s="2135"/>
      <c r="AK48" s="2135"/>
      <c r="AL48" s="2136"/>
      <c r="AM48" s="1179" t="s">
        <v>378</v>
      </c>
      <c r="AO48" s="425"/>
      <c r="AP48" s="425" t="str">
        <f t="shared" si="1"/>
        <v>Группа потребителей</v>
      </c>
      <c r="AQ48" s="425"/>
      <c r="AR48" s="425"/>
    </row>
    <row r="49" spans="1:44" ht="21" customHeight="1">
      <c r="A49" s="1281" t="s">
        <v>144</v>
      </c>
      <c r="B49" s="1281" t="s">
        <v>145</v>
      </c>
      <c r="C49" s="1281" t="s">
        <v>146</v>
      </c>
      <c r="D49" s="1281" t="s">
        <v>147</v>
      </c>
      <c r="E49" s="2147"/>
      <c r="F49" s="2147"/>
      <c r="G49" s="2147"/>
      <c r="H49" s="2147"/>
      <c r="I49" s="2149"/>
      <c r="J49" s="2149"/>
      <c r="K49" s="2148" t="str">
        <f>J48&amp;".1"</f>
        <v>....1.1.1</v>
      </c>
      <c r="L49" s="1282" t="s">
        <v>379</v>
      </c>
      <c r="P49" s="2150"/>
      <c r="Q49" s="2150"/>
      <c r="R49" s="281">
        <v>1</v>
      </c>
      <c r="S49" s="1255" t="str">
        <f>$K49</f>
        <v>....1.1.1</v>
      </c>
      <c r="T49" s="1266"/>
      <c r="U49" s="217"/>
      <c r="V49" s="668"/>
      <c r="W49" s="249"/>
      <c r="X49" s="668"/>
      <c r="Y49" s="1178"/>
      <c r="Z49" s="2151"/>
      <c r="AA49" s="2029" t="s">
        <v>50</v>
      </c>
      <c r="AB49" s="2151"/>
      <c r="AC49" s="2029" t="s">
        <v>50</v>
      </c>
      <c r="AD49" s="668"/>
      <c r="AE49" s="249"/>
      <c r="AF49" s="668"/>
      <c r="AG49" s="1178"/>
      <c r="AH49" s="2151"/>
      <c r="AI49" s="2029" t="s">
        <v>50</v>
      </c>
      <c r="AJ49" s="2153"/>
      <c r="AK49" s="2029" t="s">
        <v>50</v>
      </c>
      <c r="AL49" s="1267"/>
      <c r="AM49" s="2169" t="s">
        <v>380</v>
      </c>
      <c r="AN49" s="436" t="e">
        <f ca="1">STRCHECKDATE(V50:AL50)</f>
        <v>#NAME?</v>
      </c>
      <c r="AO49" s="425"/>
      <c r="AP49" s="425" t="str">
        <f t="shared" si="1"/>
        <v/>
      </c>
      <c r="AQ49" s="425"/>
      <c r="AR49" s="425"/>
    </row>
    <row r="50" spans="1:44" ht="0.75" customHeight="1">
      <c r="A50" s="1281" t="s">
        <v>144</v>
      </c>
      <c r="B50" s="1281" t="s">
        <v>145</v>
      </c>
      <c r="C50" s="1281" t="s">
        <v>146</v>
      </c>
      <c r="D50" s="1281" t="s">
        <v>147</v>
      </c>
      <c r="E50" s="2147"/>
      <c r="F50" s="2147"/>
      <c r="G50" s="2147"/>
      <c r="H50" s="2147"/>
      <c r="I50" s="2149"/>
      <c r="J50" s="2149"/>
      <c r="K50" s="2148"/>
      <c r="L50" s="1282"/>
      <c r="P50" s="2150"/>
      <c r="Q50" s="2150"/>
      <c r="R50" s="281"/>
      <c r="S50" s="1261"/>
      <c r="T50" s="217"/>
      <c r="U50" s="217"/>
      <c r="V50" s="249"/>
      <c r="W50" s="249"/>
      <c r="X50" s="249"/>
      <c r="Y50" s="253" t="str">
        <f>Z49&amp;"-"&amp;AB49</f>
        <v>-</v>
      </c>
      <c r="Z50" s="2152"/>
      <c r="AA50" s="2029"/>
      <c r="AB50" s="2152"/>
      <c r="AC50" s="2029"/>
      <c r="AD50" s="249"/>
      <c r="AE50" s="249"/>
      <c r="AF50" s="249"/>
      <c r="AG50" s="253" t="str">
        <f>AH49&amp;"-"&amp;AJ49</f>
        <v>-</v>
      </c>
      <c r="AH50" s="2152"/>
      <c r="AI50" s="2029"/>
      <c r="AJ50" s="2154"/>
      <c r="AK50" s="2029"/>
      <c r="AL50" s="1268"/>
      <c r="AM50" s="2170"/>
      <c r="AO50" s="425"/>
      <c r="AP50" s="425" t="str">
        <f t="shared" si="1"/>
        <v/>
      </c>
      <c r="AQ50" s="425"/>
      <c r="AR50" s="425"/>
    </row>
    <row r="51" spans="1:44" ht="11.25" customHeight="1">
      <c r="A51" s="1281" t="s">
        <v>144</v>
      </c>
      <c r="B51" s="1281" t="s">
        <v>145</v>
      </c>
      <c r="C51" s="1281" t="s">
        <v>146</v>
      </c>
      <c r="D51" s="1281" t="s">
        <v>147</v>
      </c>
      <c r="E51" s="2147"/>
      <c r="F51" s="2147"/>
      <c r="G51" s="2147"/>
      <c r="H51" s="2147"/>
      <c r="I51" s="2149"/>
      <c r="J51" s="2148"/>
      <c r="K51" s="1281"/>
      <c r="L51" s="1282"/>
      <c r="P51" s="2150"/>
      <c r="Q51" s="2150"/>
      <c r="R51" s="280"/>
      <c r="S51" s="1200"/>
      <c r="T51" s="205" t="s">
        <v>381</v>
      </c>
      <c r="U51" s="294"/>
      <c r="V51" s="294"/>
      <c r="W51" s="294"/>
      <c r="X51" s="294"/>
      <c r="Y51" s="294"/>
      <c r="Z51" s="294"/>
      <c r="AA51" s="294"/>
      <c r="AB51" s="294"/>
      <c r="AC51" s="294"/>
      <c r="AD51" s="294"/>
      <c r="AE51" s="294"/>
      <c r="AF51" s="294"/>
      <c r="AG51" s="294"/>
      <c r="AH51" s="294"/>
      <c r="AI51" s="294"/>
      <c r="AJ51" s="294"/>
      <c r="AK51" s="294"/>
      <c r="AL51" s="248"/>
      <c r="AM51" s="2171"/>
      <c r="AO51" s="425"/>
      <c r="AP51" s="425" t="str">
        <f t="shared" si="1"/>
        <v>Добавить вид теплоносителя (параметры теплоносителя)</v>
      </c>
      <c r="AQ51" s="425"/>
      <c r="AR51" s="425"/>
    </row>
    <row r="52" spans="1:44" ht="11.25" customHeight="1">
      <c r="A52" s="1281" t="s">
        <v>144</v>
      </c>
      <c r="B52" s="1281" t="s">
        <v>145</v>
      </c>
      <c r="C52" s="1281" t="s">
        <v>146</v>
      </c>
      <c r="D52" s="1281" t="s">
        <v>147</v>
      </c>
      <c r="E52" s="2147"/>
      <c r="F52" s="2147"/>
      <c r="G52" s="2147"/>
      <c r="H52" s="2147"/>
      <c r="I52" s="2148"/>
      <c r="J52" s="1281"/>
      <c r="K52" s="1281"/>
      <c r="L52" s="1282"/>
      <c r="P52" s="2150"/>
      <c r="Q52" s="1250"/>
      <c r="R52" s="280"/>
      <c r="S52" s="1200"/>
      <c r="T52" s="204"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14.25" customHeight="1">
      <c r="A53" s="1281" t="s">
        <v>144</v>
      </c>
      <c r="B53" s="1281" t="s">
        <v>145</v>
      </c>
      <c r="C53" s="1281" t="s">
        <v>146</v>
      </c>
      <c r="D53" s="1281" t="s">
        <v>147</v>
      </c>
      <c r="E53" s="2147"/>
      <c r="F53" s="2147"/>
      <c r="G53" s="2147"/>
      <c r="H53" s="2146"/>
      <c r="I53" s="1281"/>
      <c r="J53" s="1281"/>
      <c r="K53" s="1281"/>
      <c r="L53" s="1282"/>
      <c r="M53" s="1283"/>
      <c r="N53" s="1283"/>
      <c r="O53" s="461"/>
      <c r="P53" s="284"/>
      <c r="Q53" s="303"/>
      <c r="R53" s="279"/>
      <c r="S53" s="1200"/>
      <c r="T53" s="291" t="s">
        <v>383</v>
      </c>
      <c r="U53" s="294"/>
      <c r="V53" s="294"/>
      <c r="W53" s="294"/>
      <c r="X53" s="294"/>
      <c r="Y53" s="294"/>
      <c r="Z53" s="294"/>
      <c r="AA53" s="294"/>
      <c r="AB53" s="294"/>
      <c r="AC53" s="293"/>
      <c r="AD53" s="294"/>
      <c r="AE53" s="294"/>
      <c r="AF53" s="294"/>
      <c r="AG53" s="294"/>
      <c r="AH53" s="294"/>
      <c r="AI53" s="294"/>
      <c r="AJ53" s="294"/>
      <c r="AK53" s="293"/>
      <c r="AL53" s="294"/>
      <c r="AM53" s="220"/>
      <c r="AO53" s="425"/>
      <c r="AP53" s="425" t="str">
        <f t="shared" si="1"/>
        <v>Добавить схему подключения</v>
      </c>
      <c r="AQ53" s="425"/>
      <c r="AR53" s="425"/>
    </row>
    <row r="54" spans="1:44" s="1881" customFormat="1" ht="0.75" customHeight="1">
      <c r="A54" s="1262" t="s">
        <v>144</v>
      </c>
      <c r="B54" s="1262" t="s">
        <v>145</v>
      </c>
      <c r="C54" s="1262" t="s">
        <v>146</v>
      </c>
      <c r="D54" s="1234"/>
      <c r="E54" s="2147"/>
      <c r="F54" s="2147"/>
      <c r="G54" s="2146"/>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144</v>
      </c>
      <c r="B55" s="1262" t="s">
        <v>145</v>
      </c>
      <c r="C55" s="1234"/>
      <c r="D55" s="1234"/>
      <c r="E55" s="2147"/>
      <c r="F55" s="2146"/>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144</v>
      </c>
      <c r="B56" s="1262"/>
      <c r="C56" s="1262"/>
      <c r="D56" s="1262"/>
      <c r="E56" s="2146"/>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7" customHeight="1">
      <c r="O59" s="461"/>
      <c r="S59" s="1166"/>
      <c r="T59" s="2145"/>
      <c r="U59" s="2145"/>
      <c r="V59" s="2145"/>
      <c r="W59" s="2145"/>
      <c r="X59" s="2145"/>
      <c r="Y59" s="2145"/>
      <c r="Z59" s="2145"/>
      <c r="AA59" s="2145"/>
      <c r="AB59" s="2145"/>
      <c r="AC59" s="2145"/>
      <c r="AD59" s="2145"/>
      <c r="AE59" s="2145"/>
      <c r="AF59" s="2145"/>
      <c r="AG59" s="2145"/>
      <c r="AH59" s="2145"/>
      <c r="AI59" s="2145"/>
      <c r="AJ59" s="2145"/>
      <c r="AK59" s="2145"/>
      <c r="AL59" s="2145"/>
      <c r="AM59" s="2145"/>
    </row>
    <row r="60" spans="1:44" ht="62.25" customHeight="1">
      <c r="O60" s="461"/>
      <c r="T60" s="2145"/>
      <c r="U60" s="2145"/>
      <c r="V60" s="2145"/>
      <c r="W60" s="2145"/>
      <c r="X60" s="2145"/>
      <c r="Y60" s="2145"/>
      <c r="Z60" s="2145"/>
      <c r="AA60" s="2145"/>
      <c r="AB60" s="2145"/>
      <c r="AC60" s="2145"/>
      <c r="AD60" s="2145"/>
      <c r="AE60" s="2145"/>
      <c r="AF60" s="2145"/>
      <c r="AG60" s="2145"/>
      <c r="AH60" s="2145"/>
      <c r="AI60" s="2145"/>
      <c r="AJ60" s="2145"/>
      <c r="AK60" s="2145"/>
      <c r="AL60" s="2145"/>
      <c r="AM60" s="2145"/>
    </row>
    <row r="61" spans="1:44" ht="14.25" customHeight="1">
      <c r="O61" s="461"/>
    </row>
    <row r="62" spans="1:44" ht="18" customHeight="1">
      <c r="O62" s="461"/>
      <c r="S62" s="1166"/>
      <c r="T62" s="2145"/>
      <c r="U62" s="2145"/>
      <c r="V62" s="2145"/>
      <c r="W62" s="2145"/>
      <c r="X62" s="2145"/>
      <c r="Y62" s="2145"/>
      <c r="Z62" s="2145"/>
      <c r="AA62" s="2145"/>
      <c r="AB62" s="2145"/>
      <c r="AC62" s="2145"/>
      <c r="AD62" s="2145"/>
      <c r="AE62" s="2145"/>
      <c r="AF62" s="2145"/>
      <c r="AG62" s="2145"/>
      <c r="AH62" s="2145"/>
      <c r="AI62" s="2145"/>
      <c r="AJ62" s="2145"/>
      <c r="AK62" s="2145"/>
      <c r="AL62" s="2145"/>
      <c r="AM62" s="2145"/>
    </row>
    <row r="63" spans="1:44" ht="18" customHeight="1">
      <c r="O63" s="461"/>
      <c r="T63" s="2145"/>
      <c r="U63" s="2145"/>
      <c r="V63" s="2145"/>
      <c r="W63" s="2145"/>
      <c r="X63" s="2145"/>
      <c r="Y63" s="2145"/>
      <c r="Z63" s="2145"/>
      <c r="AA63" s="2145"/>
      <c r="AB63" s="2145"/>
      <c r="AC63" s="2145"/>
      <c r="AD63" s="2145"/>
      <c r="AE63" s="2145"/>
      <c r="AF63" s="2145"/>
      <c r="AG63" s="2145"/>
      <c r="AH63" s="2145"/>
      <c r="AI63" s="2145"/>
      <c r="AJ63" s="2145"/>
      <c r="AK63" s="2145"/>
      <c r="AL63" s="2145"/>
      <c r="AM63" s="2145"/>
    </row>
    <row r="64" spans="1:44" ht="27.75" customHeight="1">
      <c r="O64" s="461"/>
      <c r="S64" s="1166"/>
      <c r="T64" s="2145"/>
      <c r="U64" s="2145"/>
      <c r="V64" s="2145"/>
      <c r="W64" s="2145"/>
      <c r="X64" s="2145"/>
      <c r="Y64" s="2145"/>
      <c r="Z64" s="2145"/>
      <c r="AA64" s="2145"/>
      <c r="AB64" s="2145"/>
      <c r="AC64" s="2145"/>
      <c r="AD64" s="2145"/>
      <c r="AE64" s="2145"/>
      <c r="AF64" s="2145"/>
      <c r="AG64" s="2145"/>
      <c r="AH64" s="2145"/>
      <c r="AI64" s="2145"/>
      <c r="AJ64" s="2145"/>
      <c r="AK64" s="2145"/>
      <c r="AL64" s="2145"/>
      <c r="AM64" s="2145"/>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customWidth="1"/>
    <col min="17" max="18" width="3.7109375" style="1890" customWidth="1"/>
    <col min="19" max="19" width="12.7109375" style="1891" customWidth="1"/>
    <col min="20" max="20" width="32" style="1856" customWidth="1"/>
    <col min="21" max="21" width="0.7109375" style="1856" hidden="1" customWidth="1"/>
    <col min="22" max="22" width="1.7109375" style="1856" hidden="1" customWidth="1"/>
    <col min="23" max="23" width="24.7109375" style="1856" hidden="1" customWidth="1"/>
    <col min="24" max="25" width="0.14062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0.140625" style="1856" customWidth="1"/>
    <col min="31" max="31" width="24.7109375" style="1856" customWidth="1"/>
    <col min="32" max="33" width="0.14062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6">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40"/>
      <c r="W2" s="2141"/>
      <c r="X2" s="2141"/>
      <c r="Y2" s="2141"/>
      <c r="Z2" s="2141"/>
      <c r="AA2" s="2141"/>
      <c r="AB2" s="2141"/>
      <c r="AC2" s="2142"/>
      <c r="AD2" s="2140" t="e">
        <f>INDEX(PT_DIFFERENTIATION_NTAR,MATCH(A2,PT_DIFFERENTIATION_NTAR_ID,0))</f>
        <v>#N/A</v>
      </c>
      <c r="AE2" s="2141"/>
      <c r="AF2" s="2141"/>
      <c r="AG2" s="2141"/>
      <c r="AH2" s="2141"/>
      <c r="AI2" s="2141"/>
      <c r="AJ2" s="2141"/>
      <c r="AK2" s="2141"/>
      <c r="AL2" s="2142"/>
      <c r="AM2" s="1179" t="s">
        <v>366</v>
      </c>
      <c r="AO2" s="425"/>
      <c r="AP2" s="425" t="str">
        <f t="shared" ref="AP2:AP15" si="0">IF(T2="","",T2)</f>
        <v>Наименование тарифа</v>
      </c>
      <c r="AQ2" s="425"/>
      <c r="AR2" s="425"/>
    </row>
    <row r="3" spans="1:44" ht="21" hidden="1" customHeight="1">
      <c r="A3" s="1281"/>
      <c r="B3" s="1281"/>
      <c r="C3" s="1281"/>
      <c r="D3" s="1281"/>
      <c r="E3" s="2147"/>
      <c r="F3" s="2146">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40"/>
      <c r="W3" s="2141"/>
      <c r="X3" s="2141"/>
      <c r="Y3" s="2141"/>
      <c r="Z3" s="2141"/>
      <c r="AA3" s="2141"/>
      <c r="AB3" s="2141"/>
      <c r="AC3" s="2142"/>
      <c r="AD3" s="2140" t="e">
        <f>INDEX(PT_DIFFERENTIATION_TER,MATCH(B3,PT_DIFFERENTIATION_TER_ID,0))</f>
        <v>#N/A</v>
      </c>
      <c r="AE3" s="2141"/>
      <c r="AF3" s="2141"/>
      <c r="AG3" s="2141"/>
      <c r="AH3" s="2141"/>
      <c r="AI3" s="2141"/>
      <c r="AJ3" s="2141"/>
      <c r="AK3" s="2141"/>
      <c r="AL3" s="2142"/>
      <c r="AM3" s="1179" t="s">
        <v>368</v>
      </c>
      <c r="AO3" s="425"/>
      <c r="AP3" s="425" t="str">
        <f t="shared" si="0"/>
        <v>Территория действия тарифа</v>
      </c>
      <c r="AQ3" s="425"/>
      <c r="AR3" s="425"/>
    </row>
    <row r="4" spans="1:44" ht="23.25" hidden="1" customHeight="1">
      <c r="A4" s="1281"/>
      <c r="B4" s="1281"/>
      <c r="C4" s="1281"/>
      <c r="D4" s="1281"/>
      <c r="E4" s="2147"/>
      <c r="F4" s="2147"/>
      <c r="G4" s="2146">
        <v>1</v>
      </c>
      <c r="H4" s="1281"/>
      <c r="I4" s="1281"/>
      <c r="J4" s="1281"/>
      <c r="K4" s="1281"/>
      <c r="L4" s="1282"/>
      <c r="M4" s="1283"/>
      <c r="N4" s="1283"/>
      <c r="O4" s="1283"/>
      <c r="P4" s="278"/>
      <c r="Q4" s="276"/>
      <c r="R4" s="277"/>
      <c r="S4" s="1255" t="e">
        <f>INDEX(PT_DIFFERENTIATION_NUM_CS,MATCH(C4,PT_DIFFERENTIATION_CS_ID,0))</f>
        <v>#N/A</v>
      </c>
      <c r="T4" s="228" t="s">
        <v>369</v>
      </c>
      <c r="U4" s="217"/>
      <c r="V4" s="2140"/>
      <c r="W4" s="2141"/>
      <c r="X4" s="2141"/>
      <c r="Y4" s="2141"/>
      <c r="Z4" s="2141"/>
      <c r="AA4" s="2141"/>
      <c r="AB4" s="2141"/>
      <c r="AC4" s="2142"/>
      <c r="AD4" s="2140" t="e">
        <f>INDEX(PT_DIFFERENTIATION_CS,MATCH(C4,PT_DIFFERENTIATION_CS_ID,0))</f>
        <v>#N/A</v>
      </c>
      <c r="AE4" s="2141"/>
      <c r="AF4" s="2141"/>
      <c r="AG4" s="2141"/>
      <c r="AH4" s="2141"/>
      <c r="AI4" s="2141"/>
      <c r="AJ4" s="2141"/>
      <c r="AK4" s="2141"/>
      <c r="AL4" s="2142"/>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7"/>
      <c r="F5" s="2147"/>
      <c r="G5" s="2147"/>
      <c r="H5" s="2146">
        <v>1</v>
      </c>
      <c r="I5" s="1281"/>
      <c r="J5" s="1281"/>
      <c r="K5" s="1281"/>
      <c r="L5" s="1282"/>
      <c r="M5" s="1283"/>
      <c r="N5" s="1283"/>
      <c r="O5" s="1283"/>
      <c r="P5" s="278"/>
      <c r="Q5" s="276"/>
      <c r="R5" s="277"/>
      <c r="S5" s="1255" t="e">
        <f>INDEX(PT_DIFFERENTIATION_NUM_IST_TE,MATCH(D5,PT_DIFFERENTIATION_IST_TE_ID,0))</f>
        <v>#N/A</v>
      </c>
      <c r="T5" s="229" t="s">
        <v>371</v>
      </c>
      <c r="U5" s="217"/>
      <c r="V5" s="2140"/>
      <c r="W5" s="2141"/>
      <c r="X5" s="2141"/>
      <c r="Y5" s="2141"/>
      <c r="Z5" s="2141"/>
      <c r="AA5" s="2141"/>
      <c r="AB5" s="2141"/>
      <c r="AC5" s="2142"/>
      <c r="AD5" s="2140" t="e">
        <f>INDEX(PT_DIFFERENTIATION_IST_TE,MATCH(D5,PT_DIFFERENTIATION_IST_TE_ID,0))</f>
        <v>#N/A</v>
      </c>
      <c r="AE5" s="2141"/>
      <c r="AF5" s="2141"/>
      <c r="AG5" s="2141"/>
      <c r="AH5" s="2141"/>
      <c r="AI5" s="2141"/>
      <c r="AJ5" s="2141"/>
      <c r="AK5" s="2141"/>
      <c r="AL5" s="2142"/>
      <c r="AM5" s="1179" t="s">
        <v>372</v>
      </c>
      <c r="AO5" s="425"/>
      <c r="AP5" s="425" t="str">
        <f t="shared" si="0"/>
        <v xml:space="preserve">Источник тепловой энергии  </v>
      </c>
      <c r="AQ5" s="425"/>
      <c r="AR5" s="425"/>
    </row>
    <row r="6" spans="1:44" ht="47.25" hidden="1" customHeight="1">
      <c r="A6" s="1281"/>
      <c r="B6" s="1281"/>
      <c r="C6" s="1281"/>
      <c r="D6" s="1281"/>
      <c r="E6" s="2147"/>
      <c r="F6" s="2147"/>
      <c r="G6" s="2147"/>
      <c r="H6" s="2147"/>
      <c r="I6" s="2148" t="e">
        <f>S5&amp;".1"</f>
        <v>#N/A</v>
      </c>
      <c r="J6" s="1281"/>
      <c r="K6" s="1281"/>
      <c r="L6" s="1282" t="s">
        <v>373</v>
      </c>
      <c r="M6" s="461"/>
      <c r="P6" s="2150">
        <v>1</v>
      </c>
      <c r="Q6" s="1250"/>
      <c r="R6" s="280"/>
      <c r="S6" s="1255" t="e">
        <f>$I6</f>
        <v>#N/A</v>
      </c>
      <c r="T6" s="202" t="s">
        <v>374</v>
      </c>
      <c r="U6" s="217"/>
      <c r="V6" s="2134"/>
      <c r="W6" s="2135"/>
      <c r="X6" s="2135"/>
      <c r="Y6" s="2135"/>
      <c r="Z6" s="2135"/>
      <c r="AA6" s="2135"/>
      <c r="AB6" s="2135"/>
      <c r="AC6" s="2136"/>
      <c r="AD6" s="2134"/>
      <c r="AE6" s="2135"/>
      <c r="AF6" s="2135"/>
      <c r="AG6" s="2135"/>
      <c r="AH6" s="2135"/>
      <c r="AI6" s="2135"/>
      <c r="AJ6" s="2135"/>
      <c r="AK6" s="2135"/>
      <c r="AL6" s="2136"/>
      <c r="AM6" s="1179" t="s">
        <v>375</v>
      </c>
      <c r="AO6" s="425"/>
      <c r="AP6" s="425" t="str">
        <f t="shared" si="0"/>
        <v>Схема подключения теплопотребляющей установки к коллектору источника тепловой энергии</v>
      </c>
      <c r="AQ6" s="425"/>
      <c r="AR6" s="425"/>
    </row>
    <row r="7" spans="1:44" ht="21" hidden="1" customHeight="1">
      <c r="A7" s="1281"/>
      <c r="B7" s="1281"/>
      <c r="C7" s="1281"/>
      <c r="D7" s="1281"/>
      <c r="E7" s="2147"/>
      <c r="F7" s="2147"/>
      <c r="G7" s="2147"/>
      <c r="H7" s="2147"/>
      <c r="I7" s="2149"/>
      <c r="J7" s="2148" t="e">
        <f>I6&amp;".1"</f>
        <v>#N/A</v>
      </c>
      <c r="K7" s="1281"/>
      <c r="L7" s="1282" t="s">
        <v>376</v>
      </c>
      <c r="M7" s="461"/>
      <c r="N7" s="1284"/>
      <c r="P7" s="2150"/>
      <c r="Q7" s="2150">
        <v>1</v>
      </c>
      <c r="R7" s="281"/>
      <c r="S7" s="1255" t="e">
        <f>$J7</f>
        <v>#N/A</v>
      </c>
      <c r="T7" s="203" t="s">
        <v>377</v>
      </c>
      <c r="U7" s="217"/>
      <c r="V7" s="2134"/>
      <c r="W7" s="2135"/>
      <c r="X7" s="2135"/>
      <c r="Y7" s="2135"/>
      <c r="Z7" s="2135"/>
      <c r="AA7" s="2135"/>
      <c r="AB7" s="2135"/>
      <c r="AC7" s="2136"/>
      <c r="AD7" s="2134"/>
      <c r="AE7" s="2135"/>
      <c r="AF7" s="2135"/>
      <c r="AG7" s="2135"/>
      <c r="AH7" s="2135"/>
      <c r="AI7" s="2135"/>
      <c r="AJ7" s="2135"/>
      <c r="AK7" s="2135"/>
      <c r="AL7" s="2136"/>
      <c r="AM7" s="1179" t="s">
        <v>378</v>
      </c>
      <c r="AO7" s="425"/>
      <c r="AP7" s="425" t="str">
        <f t="shared" si="0"/>
        <v>Группа потребителей</v>
      </c>
      <c r="AQ7" s="425"/>
      <c r="AR7" s="425"/>
    </row>
    <row r="8" spans="1:44" ht="21" hidden="1" customHeight="1">
      <c r="A8" s="1281"/>
      <c r="B8" s="1281"/>
      <c r="C8" s="1281"/>
      <c r="D8" s="1281"/>
      <c r="E8" s="2147"/>
      <c r="F8" s="2147"/>
      <c r="G8" s="2147"/>
      <c r="H8" s="2147"/>
      <c r="I8" s="2149"/>
      <c r="J8" s="2149"/>
      <c r="K8" s="2148" t="e">
        <f>J7&amp;".1"</f>
        <v>#N/A</v>
      </c>
      <c r="L8" s="1282" t="s">
        <v>379</v>
      </c>
      <c r="M8" s="461"/>
      <c r="N8" s="1284"/>
      <c r="O8" s="1284"/>
      <c r="P8" s="2150"/>
      <c r="Q8" s="2150"/>
      <c r="R8" s="281">
        <v>1</v>
      </c>
      <c r="S8" s="1255" t="e">
        <f>$K8</f>
        <v>#N/A</v>
      </c>
      <c r="T8" s="1266"/>
      <c r="U8" s="217"/>
      <c r="V8" s="249"/>
      <c r="W8" s="668"/>
      <c r="X8" s="249"/>
      <c r="Y8" s="317"/>
      <c r="Z8" s="2151"/>
      <c r="AA8" s="2029" t="s">
        <v>50</v>
      </c>
      <c r="AB8" s="2151"/>
      <c r="AC8" s="2029" t="s">
        <v>50</v>
      </c>
      <c r="AD8" s="249"/>
      <c r="AE8" s="668"/>
      <c r="AF8" s="249"/>
      <c r="AG8" s="317"/>
      <c r="AH8" s="2151"/>
      <c r="AI8" s="2029" t="s">
        <v>50</v>
      </c>
      <c r="AJ8" s="2151"/>
      <c r="AK8" s="2029" t="s">
        <v>50</v>
      </c>
      <c r="AL8" s="249"/>
      <c r="AM8" s="2169" t="s">
        <v>380</v>
      </c>
      <c r="AN8" s="436" t="e">
        <f ca="1">STRCHECKDATE(V9:AL9)</f>
        <v>#NAME?</v>
      </c>
      <c r="AO8" s="425"/>
      <c r="AP8" s="425" t="str">
        <f t="shared" si="0"/>
        <v/>
      </c>
      <c r="AQ8" s="425"/>
      <c r="AR8" s="425"/>
    </row>
    <row r="9" spans="1:44" ht="0.75" hidden="1" customHeight="1">
      <c r="A9" s="1281"/>
      <c r="B9" s="1281"/>
      <c r="C9" s="1281"/>
      <c r="D9" s="1281"/>
      <c r="E9" s="2147"/>
      <c r="F9" s="2147"/>
      <c r="G9" s="2147"/>
      <c r="H9" s="2147"/>
      <c r="I9" s="2149"/>
      <c r="J9" s="2149"/>
      <c r="K9" s="2148"/>
      <c r="L9" s="1282"/>
      <c r="M9" s="461"/>
      <c r="N9" s="1284"/>
      <c r="O9" s="1284"/>
      <c r="P9" s="2150"/>
      <c r="Q9" s="2150"/>
      <c r="R9" s="281"/>
      <c r="S9" s="1261"/>
      <c r="T9" s="217"/>
      <c r="U9" s="217"/>
      <c r="V9" s="249"/>
      <c r="W9" s="249"/>
      <c r="X9" s="249"/>
      <c r="Y9" s="253" t="str">
        <f>Z8&amp;"-"&amp;AB8</f>
        <v>-</v>
      </c>
      <c r="Z9" s="2152"/>
      <c r="AA9" s="2029"/>
      <c r="AB9" s="2152"/>
      <c r="AC9" s="2029"/>
      <c r="AD9" s="249"/>
      <c r="AE9" s="249"/>
      <c r="AF9" s="249"/>
      <c r="AG9" s="253" t="str">
        <f>AH8&amp;"-"&amp;AJ8</f>
        <v>-</v>
      </c>
      <c r="AH9" s="2152"/>
      <c r="AI9" s="2029"/>
      <c r="AJ9" s="2152"/>
      <c r="AK9" s="2029"/>
      <c r="AL9" s="249"/>
      <c r="AM9" s="2170"/>
      <c r="AO9" s="425"/>
      <c r="AP9" s="425" t="str">
        <f t="shared" si="0"/>
        <v/>
      </c>
      <c r="AQ9" s="425"/>
      <c r="AR9" s="425"/>
    </row>
    <row r="10" spans="1:44" ht="15" hidden="1" customHeight="1">
      <c r="A10" s="1281"/>
      <c r="B10" s="1281"/>
      <c r="C10" s="1281"/>
      <c r="D10" s="1281"/>
      <c r="E10" s="2147"/>
      <c r="F10" s="2147"/>
      <c r="G10" s="2147"/>
      <c r="H10" s="2147"/>
      <c r="I10" s="2149"/>
      <c r="J10" s="2148"/>
      <c r="K10" s="1281"/>
      <c r="L10" s="1282"/>
      <c r="M10" s="461"/>
      <c r="N10" s="1284"/>
      <c r="P10" s="2150"/>
      <c r="Q10" s="2150"/>
      <c r="R10" s="280"/>
      <c r="S10" s="1200"/>
      <c r="T10" s="205" t="s">
        <v>381</v>
      </c>
      <c r="U10" s="294"/>
      <c r="V10" s="294"/>
      <c r="W10" s="294"/>
      <c r="X10" s="294"/>
      <c r="Y10" s="294"/>
      <c r="Z10" s="294"/>
      <c r="AA10" s="294"/>
      <c r="AB10" s="294"/>
      <c r="AC10" s="294"/>
      <c r="AD10" s="294"/>
      <c r="AE10" s="294"/>
      <c r="AF10" s="294"/>
      <c r="AG10" s="294"/>
      <c r="AH10" s="294"/>
      <c r="AI10" s="294"/>
      <c r="AJ10" s="294"/>
      <c r="AK10" s="294"/>
      <c r="AL10" s="248"/>
      <c r="AM10" s="2171"/>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7"/>
      <c r="F11" s="2147"/>
      <c r="G11" s="2147"/>
      <c r="H11" s="2147"/>
      <c r="I11" s="2148"/>
      <c r="J11" s="1281"/>
      <c r="K11" s="1281"/>
      <c r="L11" s="1282"/>
      <c r="M11" s="461"/>
      <c r="P11" s="2150"/>
      <c r="Q11" s="1250"/>
      <c r="R11" s="280"/>
      <c r="S11" s="1200"/>
      <c r="T11" s="204"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7"/>
      <c r="F12" s="2147"/>
      <c r="G12" s="2147"/>
      <c r="H12" s="2146"/>
      <c r="I12" s="1281"/>
      <c r="J12" s="1281"/>
      <c r="K12" s="1281"/>
      <c r="L12" s="1282"/>
      <c r="M12" s="1283"/>
      <c r="N12" s="1283"/>
      <c r="O12" s="461"/>
      <c r="P12" s="284"/>
      <c r="Q12" s="303"/>
      <c r="R12" s="279"/>
      <c r="S12" s="1200"/>
      <c r="T12" s="291" t="s">
        <v>383</v>
      </c>
      <c r="U12" s="294"/>
      <c r="V12" s="294"/>
      <c r="W12" s="294"/>
      <c r="X12" s="294"/>
      <c r="Y12" s="294"/>
      <c r="Z12" s="294"/>
      <c r="AA12" s="294"/>
      <c r="AB12" s="294"/>
      <c r="AC12" s="293"/>
      <c r="AD12" s="294"/>
      <c r="AE12" s="294"/>
      <c r="AF12" s="294"/>
      <c r="AG12" s="294"/>
      <c r="AH12" s="294"/>
      <c r="AI12" s="294"/>
      <c r="AJ12" s="294"/>
      <c r="AK12" s="293"/>
      <c r="AL12" s="294"/>
      <c r="AM12" s="220"/>
      <c r="AO12" s="425"/>
      <c r="AP12" s="425" t="str">
        <f t="shared" si="0"/>
        <v>Добавить схему подключения</v>
      </c>
      <c r="AQ12" s="425"/>
      <c r="AR12" s="425"/>
    </row>
    <row r="13" spans="1:44" s="1881" customFormat="1" ht="0.75" hidden="1" customHeight="1">
      <c r="A13" s="1234"/>
      <c r="B13" s="1234"/>
      <c r="C13" s="1234"/>
      <c r="D13" s="1234"/>
      <c r="E13" s="2147"/>
      <c r="F13" s="2147"/>
      <c r="G13" s="2146"/>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7"/>
      <c r="F14" s="2146"/>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6"/>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44"/>
      <c r="AI17" s="2143" t="s">
        <v>50</v>
      </c>
      <c r="AJ17" s="2144"/>
      <c r="AK17" s="2143" t="s">
        <v>50</v>
      </c>
    </row>
    <row r="18" spans="1:44" ht="14.25" hidden="1" customHeight="1">
      <c r="AD18" s="1278"/>
      <c r="AE18" s="1278"/>
      <c r="AF18" s="1278"/>
      <c r="AG18" s="253" t="str">
        <f>AH17&amp;"-"&amp;AJ17</f>
        <v>-</v>
      </c>
      <c r="AH18" s="2143"/>
      <c r="AI18" s="2143"/>
      <c r="AJ18" s="2143"/>
      <c r="AK18" s="214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33.7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27.75" customHeight="1">
      <c r="Q26" s="304"/>
      <c r="R26" s="304"/>
      <c r="S26" s="212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27"/>
      <c r="U26" s="2127"/>
      <c r="V26" s="2127"/>
      <c r="W26" s="2127"/>
      <c r="X26" s="2127"/>
      <c r="Y26" s="2127"/>
      <c r="Z26" s="2127"/>
      <c r="AA26" s="2127"/>
      <c r="AB26" s="2127"/>
      <c r="AC26" s="2127"/>
      <c r="AD26" s="2127"/>
      <c r="AE26" s="2127"/>
      <c r="AF26" s="2127"/>
      <c r="AG26" s="2127"/>
      <c r="AH26" s="2127"/>
      <c r="AI26" s="2127"/>
      <c r="AJ26" s="2127"/>
      <c r="AK26" s="1154"/>
    </row>
    <row r="27" spans="1:44" ht="14.25" customHeight="1">
      <c r="Q27" s="304"/>
      <c r="R27" s="304"/>
      <c r="S27" s="2098" t="str">
        <f>IF(org=0,"Не определено",org)</f>
        <v>ООО "Горводоканал"</v>
      </c>
      <c r="T27" s="2098"/>
      <c r="U27" s="2098"/>
      <c r="V27" s="2098"/>
      <c r="W27" s="2098"/>
      <c r="X27" s="2098"/>
      <c r="Y27" s="2098"/>
      <c r="Z27" s="2098"/>
      <c r="AA27" s="2098"/>
      <c r="AB27" s="2098"/>
      <c r="AC27" s="2098"/>
      <c r="AD27" s="2098"/>
      <c r="AE27" s="2098"/>
      <c r="AF27" s="2098"/>
      <c r="AG27" s="2098"/>
      <c r="AH27" s="2098"/>
      <c r="AI27" s="2098"/>
      <c r="AJ27" s="2098"/>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7" t="s">
        <v>37</v>
      </c>
      <c r="T29" s="2137"/>
      <c r="U29" s="1290"/>
      <c r="V29" s="2139" t="str">
        <f>IF(TITLE_NAME_OR_PR_CHANGE="",IF(TITLE_NAME_OR_PR="","",TITLE_NAME_OR_PR),TITLE_NAME_OR_PR_CHANGE)</f>
        <v/>
      </c>
      <c r="W29" s="2139"/>
      <c r="X29" s="2139"/>
      <c r="Y29" s="2139"/>
      <c r="Z29" s="2139"/>
      <c r="AA29" s="2139"/>
      <c r="AB29" s="2139"/>
      <c r="AC29" s="251"/>
      <c r="AD29" s="2139" t="str">
        <f>IF(TITLE_NAME_OR_PR_CHANGE="",IF(TITLE_NAME_OR_PR="","",TITLE_NAME_OR_PR),TITLE_NAME_OR_PR_CHANGE)</f>
        <v/>
      </c>
      <c r="AE29" s="2139"/>
      <c r="AF29" s="2139"/>
      <c r="AG29" s="2139"/>
      <c r="AH29" s="2139"/>
      <c r="AI29" s="2139"/>
      <c r="AJ29" s="2139"/>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7" t="s">
        <v>393</v>
      </c>
      <c r="T30" s="2137"/>
      <c r="U30" s="1290"/>
      <c r="V30" s="2138" t="str">
        <f>IF(TITLE_DATE_PR_CHANGE="",IF(TITLE_DATE_PR="","",TITLE_DATE_PR),TITLE_DATE_PR_CHANGE)</f>
        <v/>
      </c>
      <c r="W30" s="2138"/>
      <c r="X30" s="2138"/>
      <c r="Y30" s="2138"/>
      <c r="Z30" s="2138"/>
      <c r="AA30" s="2138"/>
      <c r="AB30" s="2138"/>
      <c r="AC30" s="251"/>
      <c r="AD30" s="2138" t="str">
        <f>IF(TITLE_DATE_PR_CHANGE="",IF(TITLE_DATE_PR="","",TITLE_DATE_PR),TITLE_DATE_PR_CHANGE)</f>
        <v/>
      </c>
      <c r="AE30" s="2138"/>
      <c r="AF30" s="2138"/>
      <c r="AG30" s="2138"/>
      <c r="AH30" s="2138"/>
      <c r="AI30" s="2138"/>
      <c r="AJ30" s="2138"/>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7" t="s">
        <v>394</v>
      </c>
      <c r="T31" s="2137"/>
      <c r="U31" s="1290"/>
      <c r="V31" s="2139" t="str">
        <f>IF(TITLE_NUMBER_PR_CHANGE="",IF(TITLE_NUMBER_PR="","",TITLE_NUMBER_PR),TITLE_NUMBER_PR_CHANGE)</f>
        <v/>
      </c>
      <c r="W31" s="2139"/>
      <c r="X31" s="2139"/>
      <c r="Y31" s="2139"/>
      <c r="Z31" s="2139"/>
      <c r="AA31" s="2139"/>
      <c r="AB31" s="2139"/>
      <c r="AC31" s="251"/>
      <c r="AD31" s="2139" t="str">
        <f>IF(TITLE_NUMBER_PR_CHANGE="",IF(TITLE_NUMBER_PR="","",TITLE_NUMBER_PR),TITLE_NUMBER_PR_CHANGE)</f>
        <v/>
      </c>
      <c r="AE31" s="2139"/>
      <c r="AF31" s="2139"/>
      <c r="AG31" s="2139"/>
      <c r="AH31" s="2139"/>
      <c r="AI31" s="2139"/>
      <c r="AJ31" s="2139"/>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7" t="s">
        <v>38</v>
      </c>
      <c r="T32" s="2137"/>
      <c r="U32" s="1290"/>
      <c r="V32" s="2139" t="str">
        <f>IF(TITLE_IST_PUB_CHANGE="",IF(TITLE_IST_PUB="","",TITLE_IST_PUB),TITLE_IST_PUB_CHANGE)</f>
        <v/>
      </c>
      <c r="W32" s="2139"/>
      <c r="X32" s="2139"/>
      <c r="Y32" s="2139"/>
      <c r="Z32" s="2139"/>
      <c r="AA32" s="2139"/>
      <c r="AB32" s="2139"/>
      <c r="AC32" s="251"/>
      <c r="AD32" s="2139" t="str">
        <f>IF(TITLE_IST_PUB_CHANGE="",IF(TITLE_IST_PUB="","",TITLE_IST_PUB),TITLE_IST_PUB_CHANGE)</f>
        <v/>
      </c>
      <c r="AE32" s="2139"/>
      <c r="AF32" s="2139"/>
      <c r="AG32" s="2139"/>
      <c r="AH32" s="2139"/>
      <c r="AI32" s="2139"/>
      <c r="AJ32" s="2139"/>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7" t="s">
        <v>395</v>
      </c>
      <c r="T34" s="2137"/>
      <c r="U34" s="1290"/>
      <c r="V34" s="2138" t="str">
        <f>IF(TITLE_DATE_PR_CHANGE="",IF(TITLE_DATE_PR="","",TITLE_DATE_PR),TITLE_DATE_PR_CHANGE)</f>
        <v/>
      </c>
      <c r="W34" s="2138"/>
      <c r="X34" s="2138"/>
      <c r="Y34" s="2138"/>
      <c r="Z34" s="2138"/>
      <c r="AA34" s="2138"/>
      <c r="AB34" s="2138"/>
      <c r="AC34" s="251"/>
      <c r="AD34" s="2138" t="str">
        <f>IF(TITLE_DATE_PR_CHANGE="",IF(TITLE_DATE_PR="","",TITLE_DATE_PR),TITLE_DATE_PR_CHANGE)</f>
        <v/>
      </c>
      <c r="AE34" s="2138"/>
      <c r="AF34" s="2138"/>
      <c r="AG34" s="2138"/>
      <c r="AH34" s="2138"/>
      <c r="AI34" s="2138"/>
      <c r="AJ34" s="2138"/>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7" t="s">
        <v>396</v>
      </c>
      <c r="T35" s="2137"/>
      <c r="U35" s="1290"/>
      <c r="V35" s="2139" t="str">
        <f>IF(TITLE_NUMBER_PR_CHANGE="",IF(TITLE_NUMBER_PR="","",TITLE_NUMBER_PR),TITLE_NUMBER_PR_CHANGE)</f>
        <v/>
      </c>
      <c r="W35" s="2139"/>
      <c r="X35" s="2139"/>
      <c r="Y35" s="2139"/>
      <c r="Z35" s="2139"/>
      <c r="AA35" s="2139"/>
      <c r="AB35" s="2139"/>
      <c r="AC35" s="251"/>
      <c r="AD35" s="2139" t="str">
        <f>IF(TITLE_NUMBER_PR_CHANGE="",IF(TITLE_NUMBER_PR="","",TITLE_NUMBER_PR),TITLE_NUMBER_PR_CHANGE)</f>
        <v/>
      </c>
      <c r="AE35" s="2139"/>
      <c r="AF35" s="2139"/>
      <c r="AG35" s="2139"/>
      <c r="AH35" s="2139"/>
      <c r="AI35" s="2139"/>
      <c r="AJ35" s="2139"/>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58"/>
      <c r="W37" s="2158"/>
      <c r="X37" s="2158"/>
      <c r="Y37" s="2158"/>
      <c r="Z37" s="2158"/>
      <c r="AA37" s="2158"/>
      <c r="AB37" s="2158"/>
      <c r="AC37" s="2158"/>
      <c r="AD37" s="2158"/>
      <c r="AE37" s="2158"/>
      <c r="AF37" s="2158"/>
      <c r="AG37" s="2158"/>
      <c r="AH37" s="2158"/>
      <c r="AI37" s="2158"/>
      <c r="AJ37" s="2158"/>
      <c r="AK37" s="2158"/>
    </row>
    <row r="38" spans="1:44" ht="14.25" customHeight="1">
      <c r="Q38" s="304"/>
      <c r="R38" s="304"/>
      <c r="S38" s="2019" t="s">
        <v>268</v>
      </c>
      <c r="T38" s="2019"/>
      <c r="U38" s="2019"/>
      <c r="V38" s="2019"/>
      <c r="W38" s="2019"/>
      <c r="X38" s="2019"/>
      <c r="Y38" s="2019"/>
      <c r="Z38" s="2019"/>
      <c r="AA38" s="2019"/>
      <c r="AB38" s="2019"/>
      <c r="AC38" s="2019"/>
      <c r="AD38" s="2019"/>
      <c r="AE38" s="2019"/>
      <c r="AF38" s="2019"/>
      <c r="AG38" s="2019"/>
      <c r="AH38" s="2019"/>
      <c r="AI38" s="2019"/>
      <c r="AJ38" s="2019"/>
      <c r="AK38" s="2019"/>
      <c r="AL38" s="2019"/>
      <c r="AM38" s="2019" t="s">
        <v>269</v>
      </c>
    </row>
    <row r="39" spans="1:44" ht="14.25" customHeight="1">
      <c r="Q39" s="304"/>
      <c r="R39" s="304"/>
      <c r="S39" s="2159" t="s">
        <v>73</v>
      </c>
      <c r="T39" s="2107" t="s">
        <v>398</v>
      </c>
      <c r="U39" s="218"/>
      <c r="V39" s="2160" t="s">
        <v>399</v>
      </c>
      <c r="W39" s="2161"/>
      <c r="X39" s="2174"/>
      <c r="Y39" s="2174"/>
      <c r="Z39" s="2161"/>
      <c r="AA39" s="2161"/>
      <c r="AB39" s="2162"/>
      <c r="AC39" s="2163" t="s">
        <v>400</v>
      </c>
      <c r="AD39" s="2160" t="s">
        <v>399</v>
      </c>
      <c r="AE39" s="2161"/>
      <c r="AF39" s="2174"/>
      <c r="AG39" s="2174"/>
      <c r="AH39" s="2161"/>
      <c r="AI39" s="2161"/>
      <c r="AJ39" s="2162"/>
      <c r="AK39" s="2163" t="s">
        <v>401</v>
      </c>
      <c r="AL39" s="2166" t="s">
        <v>402</v>
      </c>
      <c r="AM39" s="2019"/>
    </row>
    <row r="40" spans="1:44" ht="23.25" customHeight="1">
      <c r="Q40" s="304"/>
      <c r="R40" s="304"/>
      <c r="S40" s="2159"/>
      <c r="T40" s="2107"/>
      <c r="U40" s="940"/>
      <c r="V40" s="2172" t="s">
        <v>403</v>
      </c>
      <c r="W40" s="2077" t="s">
        <v>404</v>
      </c>
      <c r="X40" s="1294" t="s">
        <v>405</v>
      </c>
      <c r="Y40" s="1294"/>
      <c r="Z40" s="2006" t="s">
        <v>406</v>
      </c>
      <c r="AA40" s="2006"/>
      <c r="AB40" s="2000"/>
      <c r="AC40" s="2164"/>
      <c r="AD40" s="2172" t="s">
        <v>403</v>
      </c>
      <c r="AE40" s="2077" t="s">
        <v>404</v>
      </c>
      <c r="AF40" s="1294" t="s">
        <v>405</v>
      </c>
      <c r="AG40" s="1294"/>
      <c r="AH40" s="2006" t="s">
        <v>406</v>
      </c>
      <c r="AI40" s="2006"/>
      <c r="AJ40" s="2000"/>
      <c r="AK40" s="2164"/>
      <c r="AL40" s="2167"/>
      <c r="AM40" s="2019"/>
    </row>
    <row r="41" spans="1:44" s="1892" customFormat="1" ht="23.2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M41" s="1280"/>
      <c r="N41" s="1280"/>
      <c r="O41" s="1280"/>
      <c r="P41" s="1247"/>
      <c r="Q41" s="304"/>
      <c r="R41" s="304"/>
      <c r="S41" s="2159"/>
      <c r="T41" s="2107"/>
      <c r="U41" s="219"/>
      <c r="V41" s="2173"/>
      <c r="W41" s="2082"/>
      <c r="X41" s="1291" t="s">
        <v>414</v>
      </c>
      <c r="Y41" s="1291" t="s">
        <v>415</v>
      </c>
      <c r="Z41" s="1253" t="s">
        <v>416</v>
      </c>
      <c r="AA41" s="2112" t="s">
        <v>417</v>
      </c>
      <c r="AB41" s="2126"/>
      <c r="AC41" s="2165"/>
      <c r="AD41" s="2173"/>
      <c r="AE41" s="2082"/>
      <c r="AF41" s="1291" t="s">
        <v>414</v>
      </c>
      <c r="AG41" s="1291" t="s">
        <v>415</v>
      </c>
      <c r="AH41" s="1253" t="s">
        <v>416</v>
      </c>
      <c r="AI41" s="2112" t="s">
        <v>417</v>
      </c>
      <c r="AJ41" s="2126"/>
      <c r="AK41" s="2165"/>
      <c r="AL41" s="2168"/>
      <c r="AM41" s="2019"/>
      <c r="AN41" s="436"/>
      <c r="AO41" s="425"/>
      <c r="AP41" s="425"/>
      <c r="AQ41" s="425"/>
      <c r="AR41" s="425"/>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60">
        <f ca="1">OFFSET(X42,0,-1)+1</f>
        <v>1</v>
      </c>
      <c r="Y42" s="1260">
        <f ca="1">OFFSET(Y42,0,-1)+1</f>
        <v>2</v>
      </c>
      <c r="Z42" s="1254">
        <f ca="1">OFFSET(Z42,0,-1)+1</f>
        <v>3</v>
      </c>
      <c r="AA42" s="2157">
        <f ca="1">OFFSET(AA42,0,-1)+1</f>
        <v>4</v>
      </c>
      <c r="AB42" s="2157"/>
      <c r="AC42" s="1254">
        <f ca="1">OFFSET(AC42,0,-2)+1</f>
        <v>5</v>
      </c>
      <c r="AD42" s="1254">
        <f ca="1">OFFSET(AD42,0,-1)+1</f>
        <v>6</v>
      </c>
      <c r="AE42" s="1254"/>
      <c r="AF42" s="1260">
        <f ca="1">OFFSET(AF42,0,-1)+1</f>
        <v>1</v>
      </c>
      <c r="AG42" s="1260">
        <f ca="1">OFFSET(AG42,0,-1)+1</f>
        <v>2</v>
      </c>
      <c r="AH42" s="1254">
        <f ca="1">OFFSET(AH42,0,-1)+1</f>
        <v>3</v>
      </c>
      <c r="AI42" s="2157">
        <f ca="1">OFFSET(AI42,0,-1)+1</f>
        <v>4</v>
      </c>
      <c r="AJ42" s="2157"/>
      <c r="AK42" s="1254">
        <f ca="1">OFFSET(AK42,0,-2)+1</f>
        <v>5</v>
      </c>
      <c r="AL42" s="1156">
        <f ca="1">OFFSET(AL42,0,-1)</f>
        <v>5</v>
      </c>
      <c r="AM42" s="1254">
        <f ca="1">OFFSET(AM42,0,-1)+1</f>
        <v>6</v>
      </c>
      <c r="AN42" s="436"/>
      <c r="AO42" s="436"/>
      <c r="AP42" s="436"/>
      <c r="AQ42" s="436"/>
      <c r="AR42" s="436"/>
    </row>
    <row r="43" spans="1:44" ht="21" customHeight="1">
      <c r="A43" s="1281" t="s">
        <v>174</v>
      </c>
      <c r="B43" s="1281"/>
      <c r="C43" s="1281"/>
      <c r="D43" s="1281"/>
      <c r="E43" s="2146">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40"/>
      <c r="W43" s="2141"/>
      <c r="X43" s="2141"/>
      <c r="Y43" s="2141"/>
      <c r="Z43" s="2141"/>
      <c r="AA43" s="2141"/>
      <c r="AB43" s="2141"/>
      <c r="AC43" s="2142"/>
      <c r="AD43" s="2140" t="str">
        <f>INDEX(PT_DIFFERENTIATION_NTAR,MATCH(A43,PT_DIFFERENTIATION_NTAR_ID,0))</f>
        <v/>
      </c>
      <c r="AE43" s="2141"/>
      <c r="AF43" s="2141"/>
      <c r="AG43" s="2141"/>
      <c r="AH43" s="2141"/>
      <c r="AI43" s="2141"/>
      <c r="AJ43" s="2141"/>
      <c r="AK43" s="2141"/>
      <c r="AL43" s="2142"/>
      <c r="AM43" s="11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174</v>
      </c>
      <c r="B44" s="1281" t="s">
        <v>175</v>
      </c>
      <c r="C44" s="1281"/>
      <c r="D44" s="1281"/>
      <c r="E44" s="2147"/>
      <c r="F44" s="2146">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40"/>
      <c r="W44" s="2141"/>
      <c r="X44" s="2141"/>
      <c r="Y44" s="2141"/>
      <c r="Z44" s="2141"/>
      <c r="AA44" s="2141"/>
      <c r="AB44" s="2141"/>
      <c r="AC44" s="2142"/>
      <c r="AD44" s="2140" t="str">
        <f>INDEX(PT_DIFFERENTIATION_TER,MATCH(B44,PT_DIFFERENTIATION_TER_ID,0))</f>
        <v/>
      </c>
      <c r="AE44" s="2141"/>
      <c r="AF44" s="2141"/>
      <c r="AG44" s="2141"/>
      <c r="AH44" s="2141"/>
      <c r="AI44" s="2141"/>
      <c r="AJ44" s="2141"/>
      <c r="AK44" s="2141"/>
      <c r="AL44" s="2142"/>
      <c r="AM44" s="1179" t="s">
        <v>368</v>
      </c>
      <c r="AO44" s="425"/>
      <c r="AP44" s="425" t="str">
        <f t="shared" si="1"/>
        <v>Территория действия тарифа</v>
      </c>
      <c r="AQ44" s="425"/>
      <c r="AR44" s="425"/>
    </row>
    <row r="45" spans="1:44" ht="23.25" customHeight="1">
      <c r="A45" s="1281" t="s">
        <v>174</v>
      </c>
      <c r="B45" s="1281" t="s">
        <v>175</v>
      </c>
      <c r="C45" s="1281" t="s">
        <v>176</v>
      </c>
      <c r="D45" s="1281"/>
      <c r="E45" s="2147"/>
      <c r="F45" s="2147"/>
      <c r="G45" s="2146">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40"/>
      <c r="W45" s="2141"/>
      <c r="X45" s="2141"/>
      <c r="Y45" s="2141"/>
      <c r="Z45" s="2141"/>
      <c r="AA45" s="2141"/>
      <c r="AB45" s="2141"/>
      <c r="AC45" s="2142"/>
      <c r="AD45" s="2140" t="str">
        <f>INDEX(PT_DIFFERENTIATION_CS,MATCH(C45,PT_DIFFERENTIATION_CS_ID,0))</f>
        <v/>
      </c>
      <c r="AE45" s="2141"/>
      <c r="AF45" s="2141"/>
      <c r="AG45" s="2141"/>
      <c r="AH45" s="2141"/>
      <c r="AI45" s="2141"/>
      <c r="AJ45" s="2141"/>
      <c r="AK45" s="2141"/>
      <c r="AL45" s="2142"/>
      <c r="AM45" s="1179" t="s">
        <v>370</v>
      </c>
      <c r="AO45" s="425"/>
      <c r="AP45" s="425" t="str">
        <f t="shared" si="1"/>
        <v xml:space="preserve">Наименование системы теплоснабжения </v>
      </c>
      <c r="AQ45" s="425"/>
      <c r="AR45" s="425"/>
    </row>
    <row r="46" spans="1:44" ht="21" customHeight="1">
      <c r="A46" s="1281" t="s">
        <v>174</v>
      </c>
      <c r="B46" s="1281" t="s">
        <v>175</v>
      </c>
      <c r="C46" s="1281" t="s">
        <v>176</v>
      </c>
      <c r="D46" s="1281" t="s">
        <v>177</v>
      </c>
      <c r="E46" s="2147"/>
      <c r="F46" s="2147"/>
      <c r="G46" s="2147"/>
      <c r="H46" s="2146">
        <v>1</v>
      </c>
      <c r="I46" s="1281"/>
      <c r="J46" s="1281"/>
      <c r="K46" s="1281"/>
      <c r="L46" s="1282"/>
      <c r="M46" s="1283"/>
      <c r="N46" s="1283"/>
      <c r="O46" s="1283"/>
      <c r="P46" s="278"/>
      <c r="Q46" s="276"/>
      <c r="R46" s="277"/>
      <c r="S46" s="1255" t="str">
        <f>INDEX(PT_DIFFERENTIATION_NUM_IST_TE,MATCH(D46,PT_DIFFERENTIATION_IST_TE_ID,0))</f>
        <v>...</v>
      </c>
      <c r="T46" s="229" t="s">
        <v>371</v>
      </c>
      <c r="U46" s="217"/>
      <c r="V46" s="2140"/>
      <c r="W46" s="2141"/>
      <c r="X46" s="2141"/>
      <c r="Y46" s="2141"/>
      <c r="Z46" s="2141"/>
      <c r="AA46" s="2141"/>
      <c r="AB46" s="2141"/>
      <c r="AC46" s="2142"/>
      <c r="AD46" s="2140" t="str">
        <f>INDEX(PT_DIFFERENTIATION_IST_TE,MATCH(D46,PT_DIFFERENTIATION_IST_TE_ID,0))</f>
        <v/>
      </c>
      <c r="AE46" s="2141"/>
      <c r="AF46" s="2141"/>
      <c r="AG46" s="2141"/>
      <c r="AH46" s="2141"/>
      <c r="AI46" s="2141"/>
      <c r="AJ46" s="2141"/>
      <c r="AK46" s="2141"/>
      <c r="AL46" s="2142"/>
      <c r="AM46" s="1179" t="s">
        <v>372</v>
      </c>
      <c r="AO46" s="425"/>
      <c r="AP46" s="425" t="str">
        <f t="shared" si="1"/>
        <v xml:space="preserve">Источник тепловой энергии  </v>
      </c>
      <c r="AQ46" s="425"/>
      <c r="AR46" s="425"/>
    </row>
    <row r="47" spans="1:44" ht="47.25" customHeight="1">
      <c r="A47" s="1281" t="s">
        <v>174</v>
      </c>
      <c r="B47" s="1281" t="s">
        <v>175</v>
      </c>
      <c r="C47" s="1281" t="s">
        <v>176</v>
      </c>
      <c r="D47" s="1281" t="s">
        <v>177</v>
      </c>
      <c r="E47" s="2147"/>
      <c r="F47" s="2147"/>
      <c r="G47" s="2147"/>
      <c r="H47" s="2147"/>
      <c r="I47" s="2148" t="str">
        <f>S46&amp;".1"</f>
        <v>....1</v>
      </c>
      <c r="J47" s="1281"/>
      <c r="K47" s="1281"/>
      <c r="L47" s="1282" t="s">
        <v>373</v>
      </c>
      <c r="P47" s="2150">
        <v>1</v>
      </c>
      <c r="Q47" s="1250"/>
      <c r="R47" s="280"/>
      <c r="S47" s="1255" t="str">
        <f>$I47</f>
        <v>....1</v>
      </c>
      <c r="T47" s="202" t="s">
        <v>374</v>
      </c>
      <c r="U47" s="217"/>
      <c r="V47" s="2134"/>
      <c r="W47" s="2135"/>
      <c r="X47" s="2135"/>
      <c r="Y47" s="2135"/>
      <c r="Z47" s="2135"/>
      <c r="AA47" s="2135"/>
      <c r="AB47" s="2135"/>
      <c r="AC47" s="2136"/>
      <c r="AD47" s="2134"/>
      <c r="AE47" s="2135"/>
      <c r="AF47" s="2135"/>
      <c r="AG47" s="2135"/>
      <c r="AH47" s="2135"/>
      <c r="AI47" s="2135"/>
      <c r="AJ47" s="2135"/>
      <c r="AK47" s="2135"/>
      <c r="AL47" s="2136"/>
      <c r="AM47" s="1179" t="s">
        <v>375</v>
      </c>
      <c r="AO47" s="425"/>
      <c r="AP47" s="425" t="str">
        <f t="shared" si="1"/>
        <v>Схема подключения теплопотребляющей установки к коллектору источника тепловой энергии</v>
      </c>
      <c r="AQ47" s="425"/>
      <c r="AR47" s="425"/>
    </row>
    <row r="48" spans="1:44" ht="21" customHeight="1">
      <c r="A48" s="1281" t="s">
        <v>174</v>
      </c>
      <c r="B48" s="1281" t="s">
        <v>175</v>
      </c>
      <c r="C48" s="1281" t="s">
        <v>176</v>
      </c>
      <c r="D48" s="1281" t="s">
        <v>177</v>
      </c>
      <c r="E48" s="2147"/>
      <c r="F48" s="2147"/>
      <c r="G48" s="2147"/>
      <c r="H48" s="2147"/>
      <c r="I48" s="2149"/>
      <c r="J48" s="2148" t="str">
        <f>I47&amp;".1"</f>
        <v>....1.1</v>
      </c>
      <c r="K48" s="1281"/>
      <c r="L48" s="1282" t="s">
        <v>376</v>
      </c>
      <c r="P48" s="2150"/>
      <c r="Q48" s="2150">
        <v>1</v>
      </c>
      <c r="R48" s="281"/>
      <c r="S48" s="1255" t="str">
        <f>$J48</f>
        <v>....1.1</v>
      </c>
      <c r="T48" s="203" t="s">
        <v>377</v>
      </c>
      <c r="U48" s="217"/>
      <c r="V48" s="2134"/>
      <c r="W48" s="2135"/>
      <c r="X48" s="2135"/>
      <c r="Y48" s="2135"/>
      <c r="Z48" s="2135"/>
      <c r="AA48" s="2135"/>
      <c r="AB48" s="2135"/>
      <c r="AC48" s="2136"/>
      <c r="AD48" s="2134"/>
      <c r="AE48" s="2135"/>
      <c r="AF48" s="2135"/>
      <c r="AG48" s="2135"/>
      <c r="AH48" s="2135"/>
      <c r="AI48" s="2135"/>
      <c r="AJ48" s="2135"/>
      <c r="AK48" s="2135"/>
      <c r="AL48" s="2136"/>
      <c r="AM48" s="1179" t="s">
        <v>378</v>
      </c>
      <c r="AO48" s="425"/>
      <c r="AP48" s="425" t="str">
        <f t="shared" si="1"/>
        <v>Группа потребителей</v>
      </c>
      <c r="AQ48" s="425"/>
      <c r="AR48" s="425"/>
    </row>
    <row r="49" spans="1:44" ht="21" customHeight="1">
      <c r="A49" s="1281" t="s">
        <v>174</v>
      </c>
      <c r="B49" s="1281" t="s">
        <v>175</v>
      </c>
      <c r="C49" s="1281" t="s">
        <v>176</v>
      </c>
      <c r="D49" s="1281" t="s">
        <v>177</v>
      </c>
      <c r="E49" s="2147"/>
      <c r="F49" s="2147"/>
      <c r="G49" s="2147"/>
      <c r="H49" s="2147"/>
      <c r="I49" s="2149"/>
      <c r="J49" s="2149"/>
      <c r="K49" s="2148" t="str">
        <f>J48&amp;".1"</f>
        <v>....1.1.1</v>
      </c>
      <c r="L49" s="1282" t="s">
        <v>379</v>
      </c>
      <c r="P49" s="2150"/>
      <c r="Q49" s="2150"/>
      <c r="R49" s="281">
        <v>1</v>
      </c>
      <c r="S49" s="1255" t="str">
        <f>$K49</f>
        <v>....1.1.1</v>
      </c>
      <c r="T49" s="1266"/>
      <c r="U49" s="217"/>
      <c r="V49" s="249"/>
      <c r="W49" s="668"/>
      <c r="X49" s="249"/>
      <c r="Y49" s="317"/>
      <c r="Z49" s="2151"/>
      <c r="AA49" s="2029" t="s">
        <v>50</v>
      </c>
      <c r="AB49" s="2151"/>
      <c r="AC49" s="2029" t="s">
        <v>50</v>
      </c>
      <c r="AD49" s="249"/>
      <c r="AE49" s="668"/>
      <c r="AF49" s="249"/>
      <c r="AG49" s="317"/>
      <c r="AH49" s="2151"/>
      <c r="AI49" s="2029" t="s">
        <v>50</v>
      </c>
      <c r="AJ49" s="2153"/>
      <c r="AK49" s="2029" t="s">
        <v>50</v>
      </c>
      <c r="AL49" s="1267"/>
      <c r="AM49" s="2169" t="s">
        <v>380</v>
      </c>
      <c r="AN49" s="436" t="e">
        <f ca="1">STRCHECKDATE(V50:AL50)</f>
        <v>#NAME?</v>
      </c>
      <c r="AO49" s="425"/>
      <c r="AP49" s="425" t="str">
        <f t="shared" si="1"/>
        <v/>
      </c>
      <c r="AQ49" s="425"/>
      <c r="AR49" s="425"/>
    </row>
    <row r="50" spans="1:44" ht="0.75" customHeight="1">
      <c r="A50" s="1281" t="s">
        <v>174</v>
      </c>
      <c r="B50" s="1281" t="s">
        <v>175</v>
      </c>
      <c r="C50" s="1281" t="s">
        <v>176</v>
      </c>
      <c r="D50" s="1281" t="s">
        <v>177</v>
      </c>
      <c r="E50" s="2147"/>
      <c r="F50" s="2147"/>
      <c r="G50" s="2147"/>
      <c r="H50" s="2147"/>
      <c r="I50" s="2149"/>
      <c r="J50" s="2149"/>
      <c r="K50" s="2148"/>
      <c r="L50" s="1282"/>
      <c r="P50" s="2150"/>
      <c r="Q50" s="2150"/>
      <c r="R50" s="281"/>
      <c r="S50" s="1261"/>
      <c r="T50" s="217"/>
      <c r="U50" s="217"/>
      <c r="V50" s="249"/>
      <c r="W50" s="249"/>
      <c r="X50" s="249"/>
      <c r="Y50" s="253" t="str">
        <f>Z49&amp;"-"&amp;AB49</f>
        <v>-</v>
      </c>
      <c r="Z50" s="2152"/>
      <c r="AA50" s="2029"/>
      <c r="AB50" s="2152"/>
      <c r="AC50" s="2029"/>
      <c r="AD50" s="249"/>
      <c r="AE50" s="249"/>
      <c r="AF50" s="249"/>
      <c r="AG50" s="253" t="str">
        <f>AH49&amp;"-"&amp;AJ49</f>
        <v>-</v>
      </c>
      <c r="AH50" s="2152"/>
      <c r="AI50" s="2029"/>
      <c r="AJ50" s="2154"/>
      <c r="AK50" s="2029"/>
      <c r="AL50" s="1268"/>
      <c r="AM50" s="2170"/>
      <c r="AO50" s="425"/>
      <c r="AP50" s="425" t="str">
        <f t="shared" si="1"/>
        <v/>
      </c>
      <c r="AQ50" s="425"/>
      <c r="AR50" s="425"/>
    </row>
    <row r="51" spans="1:44" ht="11.25" customHeight="1">
      <c r="A51" s="1281" t="s">
        <v>174</v>
      </c>
      <c r="B51" s="1281" t="s">
        <v>175</v>
      </c>
      <c r="C51" s="1281" t="s">
        <v>176</v>
      </c>
      <c r="D51" s="1281" t="s">
        <v>177</v>
      </c>
      <c r="E51" s="2147"/>
      <c r="F51" s="2147"/>
      <c r="G51" s="2147"/>
      <c r="H51" s="2147"/>
      <c r="I51" s="2149"/>
      <c r="J51" s="2148"/>
      <c r="K51" s="1281"/>
      <c r="L51" s="1282"/>
      <c r="P51" s="2150"/>
      <c r="Q51" s="2150"/>
      <c r="R51" s="280"/>
      <c r="S51" s="1200"/>
      <c r="T51" s="205" t="s">
        <v>381</v>
      </c>
      <c r="U51" s="294"/>
      <c r="V51" s="294"/>
      <c r="W51" s="294"/>
      <c r="X51" s="294"/>
      <c r="Y51" s="294"/>
      <c r="Z51" s="294"/>
      <c r="AA51" s="294"/>
      <c r="AB51" s="294"/>
      <c r="AC51" s="294"/>
      <c r="AD51" s="294"/>
      <c r="AE51" s="294"/>
      <c r="AF51" s="294"/>
      <c r="AG51" s="294"/>
      <c r="AH51" s="294"/>
      <c r="AI51" s="294"/>
      <c r="AJ51" s="294"/>
      <c r="AK51" s="294"/>
      <c r="AL51" s="248"/>
      <c r="AM51" s="2171"/>
      <c r="AO51" s="425"/>
      <c r="AP51" s="425" t="str">
        <f t="shared" si="1"/>
        <v>Добавить вид теплоносителя (параметры теплоносителя)</v>
      </c>
      <c r="AQ51" s="425"/>
      <c r="AR51" s="425"/>
    </row>
    <row r="52" spans="1:44" ht="11.25" customHeight="1">
      <c r="A52" s="1281" t="s">
        <v>174</v>
      </c>
      <c r="B52" s="1281" t="s">
        <v>175</v>
      </c>
      <c r="C52" s="1281" t="s">
        <v>176</v>
      </c>
      <c r="D52" s="1281" t="s">
        <v>177</v>
      </c>
      <c r="E52" s="2147"/>
      <c r="F52" s="2147"/>
      <c r="G52" s="2147"/>
      <c r="H52" s="2147"/>
      <c r="I52" s="2148"/>
      <c r="J52" s="1281"/>
      <c r="K52" s="1281"/>
      <c r="L52" s="1282"/>
      <c r="P52" s="2150"/>
      <c r="Q52" s="1250"/>
      <c r="R52" s="280"/>
      <c r="S52" s="1200"/>
      <c r="T52" s="204"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14.25" customHeight="1">
      <c r="A53" s="1281" t="s">
        <v>174</v>
      </c>
      <c r="B53" s="1281" t="s">
        <v>175</v>
      </c>
      <c r="C53" s="1281" t="s">
        <v>176</v>
      </c>
      <c r="D53" s="1281" t="s">
        <v>177</v>
      </c>
      <c r="E53" s="2147"/>
      <c r="F53" s="2147"/>
      <c r="G53" s="2147"/>
      <c r="H53" s="2146"/>
      <c r="I53" s="1281"/>
      <c r="J53" s="1281"/>
      <c r="K53" s="1281"/>
      <c r="L53" s="1282"/>
      <c r="M53" s="1283"/>
      <c r="N53" s="1283"/>
      <c r="O53" s="461"/>
      <c r="P53" s="284"/>
      <c r="Q53" s="303"/>
      <c r="R53" s="279"/>
      <c r="S53" s="1200"/>
      <c r="T53" s="291" t="s">
        <v>383</v>
      </c>
      <c r="U53" s="294"/>
      <c r="V53" s="294"/>
      <c r="W53" s="294"/>
      <c r="X53" s="294"/>
      <c r="Y53" s="294"/>
      <c r="Z53" s="294"/>
      <c r="AA53" s="294"/>
      <c r="AB53" s="294"/>
      <c r="AC53" s="293"/>
      <c r="AD53" s="294"/>
      <c r="AE53" s="294"/>
      <c r="AF53" s="294"/>
      <c r="AG53" s="294"/>
      <c r="AH53" s="294"/>
      <c r="AI53" s="294"/>
      <c r="AJ53" s="294"/>
      <c r="AK53" s="293"/>
      <c r="AL53" s="294"/>
      <c r="AM53" s="220"/>
      <c r="AO53" s="425"/>
      <c r="AP53" s="425" t="str">
        <f t="shared" si="1"/>
        <v>Добавить схему подключения</v>
      </c>
      <c r="AQ53" s="425"/>
      <c r="AR53" s="425"/>
    </row>
    <row r="54" spans="1:44" s="1881" customFormat="1" ht="0.75" customHeight="1">
      <c r="A54" s="1262" t="s">
        <v>174</v>
      </c>
      <c r="B54" s="1262" t="s">
        <v>175</v>
      </c>
      <c r="C54" s="1262" t="s">
        <v>176</v>
      </c>
      <c r="D54" s="1234"/>
      <c r="E54" s="2147"/>
      <c r="F54" s="2147"/>
      <c r="G54" s="2146"/>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174</v>
      </c>
      <c r="B55" s="1262" t="s">
        <v>175</v>
      </c>
      <c r="C55" s="1234"/>
      <c r="D55" s="1234"/>
      <c r="E55" s="2147"/>
      <c r="F55" s="2146"/>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174</v>
      </c>
      <c r="B56" s="1262"/>
      <c r="C56" s="1262"/>
      <c r="D56" s="1262"/>
      <c r="E56" s="2146"/>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7" customHeight="1">
      <c r="O59" s="461"/>
      <c r="S59" s="1166"/>
      <c r="T59" s="2145"/>
      <c r="U59" s="2145"/>
      <c r="V59" s="2145"/>
      <c r="W59" s="2145"/>
      <c r="X59" s="2145"/>
      <c r="Y59" s="2145"/>
      <c r="Z59" s="2145"/>
      <c r="AA59" s="2145"/>
      <c r="AB59" s="2145"/>
      <c r="AC59" s="2145"/>
      <c r="AD59" s="2145"/>
      <c r="AE59" s="2145"/>
      <c r="AF59" s="2145"/>
      <c r="AG59" s="2145"/>
      <c r="AH59" s="2145"/>
      <c r="AI59" s="2145"/>
      <c r="AJ59" s="2145"/>
      <c r="AK59" s="2145"/>
      <c r="AL59" s="2145"/>
      <c r="AM59" s="2145"/>
    </row>
    <row r="60" spans="1:44" ht="75" customHeight="1">
      <c r="O60" s="461"/>
      <c r="T60" s="2145"/>
      <c r="U60" s="2145"/>
      <c r="V60" s="2145"/>
      <c r="W60" s="2145"/>
      <c r="X60" s="2145"/>
      <c r="Y60" s="2145"/>
      <c r="Z60" s="2145"/>
      <c r="AA60" s="2145"/>
      <c r="AB60" s="2145"/>
      <c r="AC60" s="2145"/>
      <c r="AD60" s="2145"/>
      <c r="AE60" s="2145"/>
      <c r="AF60" s="2145"/>
      <c r="AG60" s="2145"/>
      <c r="AH60" s="2145"/>
      <c r="AI60" s="2145"/>
      <c r="AJ60" s="2145"/>
      <c r="AK60" s="2145"/>
      <c r="AL60" s="2145"/>
      <c r="AM60" s="2145"/>
    </row>
    <row r="61" spans="1:44" ht="14.25" customHeight="1">
      <c r="O61" s="461"/>
    </row>
    <row r="62" spans="1:44" ht="18" customHeight="1">
      <c r="O62" s="461"/>
      <c r="S62" s="1166"/>
      <c r="T62" s="2145"/>
      <c r="U62" s="2145"/>
      <c r="V62" s="2145"/>
      <c r="W62" s="2145"/>
      <c r="X62" s="2145"/>
      <c r="Y62" s="2145"/>
      <c r="Z62" s="2145"/>
      <c r="AA62" s="2145"/>
      <c r="AB62" s="2145"/>
      <c r="AC62" s="2145"/>
      <c r="AD62" s="2145"/>
      <c r="AE62" s="2145"/>
      <c r="AF62" s="2145"/>
      <c r="AG62" s="2145"/>
      <c r="AH62" s="2145"/>
      <c r="AI62" s="2145"/>
      <c r="AJ62" s="2145"/>
      <c r="AK62" s="2145"/>
      <c r="AL62" s="2145"/>
      <c r="AM62" s="2145"/>
    </row>
    <row r="63" spans="1:44" ht="18" customHeight="1">
      <c r="O63" s="461"/>
      <c r="T63" s="2145"/>
      <c r="U63" s="2145"/>
      <c r="V63" s="2145"/>
      <c r="W63" s="2145"/>
      <c r="X63" s="2145"/>
      <c r="Y63" s="2145"/>
      <c r="Z63" s="2145"/>
      <c r="AA63" s="2145"/>
      <c r="AB63" s="2145"/>
      <c r="AC63" s="2145"/>
      <c r="AD63" s="2145"/>
      <c r="AE63" s="2145"/>
      <c r="AF63" s="2145"/>
      <c r="AG63" s="2145"/>
      <c r="AH63" s="2145"/>
      <c r="AI63" s="2145"/>
      <c r="AJ63" s="2145"/>
      <c r="AK63" s="2145"/>
      <c r="AL63" s="2145"/>
      <c r="AM63" s="2145"/>
    </row>
    <row r="64" spans="1:44" ht="38.25" customHeight="1">
      <c r="O64" s="461"/>
      <c r="S64" s="1166"/>
      <c r="T64" s="2145"/>
      <c r="U64" s="2145"/>
      <c r="V64" s="2145"/>
      <c r="W64" s="2145"/>
      <c r="X64" s="2145"/>
      <c r="Y64" s="2145"/>
      <c r="Z64" s="2145"/>
      <c r="AA64" s="2145"/>
      <c r="AB64" s="2145"/>
      <c r="AC64" s="2145"/>
      <c r="AD64" s="2145"/>
      <c r="AE64" s="2145"/>
      <c r="AF64" s="2145"/>
      <c r="AG64" s="2145"/>
      <c r="AH64" s="2145"/>
      <c r="AI64" s="2145"/>
      <c r="AJ64" s="2145"/>
      <c r="AK64" s="2145"/>
      <c r="AL64" s="2145"/>
      <c r="AM64" s="2145"/>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hidden="1"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6">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40"/>
      <c r="W2" s="2141"/>
      <c r="X2" s="2141"/>
      <c r="Y2" s="2141"/>
      <c r="Z2" s="2141"/>
      <c r="AA2" s="2141"/>
      <c r="AB2" s="2141"/>
      <c r="AC2" s="2142"/>
      <c r="AD2" s="2140" t="e">
        <f>INDEX(PT_DIFFERENTIATION_NTAR,MATCH(A2,PT_DIFFERENTIATION_NTAR_ID,0))</f>
        <v>#N/A</v>
      </c>
      <c r="AE2" s="2141"/>
      <c r="AF2" s="2141"/>
      <c r="AG2" s="2141"/>
      <c r="AH2" s="2141"/>
      <c r="AI2" s="2141"/>
      <c r="AJ2" s="2141"/>
      <c r="AK2" s="2141"/>
      <c r="AL2" s="2142"/>
      <c r="AM2" s="1179" t="s">
        <v>366</v>
      </c>
      <c r="AO2" s="425"/>
      <c r="AP2" s="425" t="str">
        <f t="shared" ref="AP2:AP15" si="0">IF(T2="","",T2)</f>
        <v>Наименование тарифа</v>
      </c>
      <c r="AQ2" s="425"/>
      <c r="AR2" s="425"/>
    </row>
    <row r="3" spans="1:44" ht="21" hidden="1" customHeight="1">
      <c r="A3" s="1281"/>
      <c r="B3" s="1281"/>
      <c r="C3" s="1281"/>
      <c r="D3" s="1281"/>
      <c r="E3" s="2147"/>
      <c r="F3" s="2146">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40"/>
      <c r="W3" s="2141"/>
      <c r="X3" s="2141"/>
      <c r="Y3" s="2141"/>
      <c r="Z3" s="2141"/>
      <c r="AA3" s="2141"/>
      <c r="AB3" s="2141"/>
      <c r="AC3" s="2142"/>
      <c r="AD3" s="2140" t="e">
        <f>INDEX(PT_DIFFERENTIATION_TER,MATCH(B3,PT_DIFFERENTIATION_TER_ID,0))</f>
        <v>#N/A</v>
      </c>
      <c r="AE3" s="2141"/>
      <c r="AF3" s="2141"/>
      <c r="AG3" s="2141"/>
      <c r="AH3" s="2141"/>
      <c r="AI3" s="2141"/>
      <c r="AJ3" s="2141"/>
      <c r="AK3" s="2141"/>
      <c r="AL3" s="2142"/>
      <c r="AM3" s="1179" t="s">
        <v>368</v>
      </c>
      <c r="AO3" s="425"/>
      <c r="AP3" s="425" t="str">
        <f t="shared" si="0"/>
        <v>Территория действия тарифа</v>
      </c>
      <c r="AQ3" s="425"/>
      <c r="AR3" s="425"/>
    </row>
    <row r="4" spans="1:44" ht="23.25" hidden="1" customHeight="1">
      <c r="A4" s="1281"/>
      <c r="B4" s="1281"/>
      <c r="C4" s="1281"/>
      <c r="D4" s="1281"/>
      <c r="E4" s="2147"/>
      <c r="F4" s="2147"/>
      <c r="G4" s="2146">
        <v>1</v>
      </c>
      <c r="H4" s="1281"/>
      <c r="I4" s="1281"/>
      <c r="J4" s="1281"/>
      <c r="K4" s="1281"/>
      <c r="L4" s="1282"/>
      <c r="M4" s="1283"/>
      <c r="N4" s="1283"/>
      <c r="O4" s="1283"/>
      <c r="P4" s="278"/>
      <c r="Q4" s="276"/>
      <c r="R4" s="277"/>
      <c r="S4" s="1255" t="e">
        <f>INDEX(PT_DIFFERENTIATION_NUM_CS,MATCH(C4,PT_DIFFERENTIATION_CS_ID,0))</f>
        <v>#N/A</v>
      </c>
      <c r="T4" s="228" t="s">
        <v>369</v>
      </c>
      <c r="U4" s="217"/>
      <c r="V4" s="2140"/>
      <c r="W4" s="2141"/>
      <c r="X4" s="2141"/>
      <c r="Y4" s="2141"/>
      <c r="Z4" s="2141"/>
      <c r="AA4" s="2141"/>
      <c r="AB4" s="2141"/>
      <c r="AC4" s="2142"/>
      <c r="AD4" s="2140" t="e">
        <f>INDEX(PT_DIFFERENTIATION_CS,MATCH(C4,PT_DIFFERENTIATION_CS_ID,0))</f>
        <v>#N/A</v>
      </c>
      <c r="AE4" s="2141"/>
      <c r="AF4" s="2141"/>
      <c r="AG4" s="2141"/>
      <c r="AH4" s="2141"/>
      <c r="AI4" s="2141"/>
      <c r="AJ4" s="2141"/>
      <c r="AK4" s="2141"/>
      <c r="AL4" s="2142"/>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7"/>
      <c r="F5" s="2147"/>
      <c r="G5" s="2147"/>
      <c r="H5" s="2146">
        <v>1</v>
      </c>
      <c r="I5" s="1281"/>
      <c r="J5" s="1281"/>
      <c r="K5" s="1281"/>
      <c r="L5" s="1282"/>
      <c r="M5" s="1283"/>
      <c r="N5" s="1283"/>
      <c r="O5" s="1283"/>
      <c r="P5" s="278"/>
      <c r="Q5" s="276"/>
      <c r="R5" s="277"/>
      <c r="S5" s="1255" t="e">
        <f>INDEX(PT_DIFFERENTIATION_NUM_IST_TE,MATCH(D5,PT_DIFFERENTIATION_IST_TE_ID,0))</f>
        <v>#N/A</v>
      </c>
      <c r="T5" s="229" t="s">
        <v>371</v>
      </c>
      <c r="U5" s="217"/>
      <c r="V5" s="2140"/>
      <c r="W5" s="2141"/>
      <c r="X5" s="2141"/>
      <c r="Y5" s="2141"/>
      <c r="Z5" s="2141"/>
      <c r="AA5" s="2141"/>
      <c r="AB5" s="2141"/>
      <c r="AC5" s="2142"/>
      <c r="AD5" s="2140" t="e">
        <f>INDEX(PT_DIFFERENTIATION_IST_TE,MATCH(D5,PT_DIFFERENTIATION_IST_TE_ID,0))</f>
        <v>#N/A</v>
      </c>
      <c r="AE5" s="2141"/>
      <c r="AF5" s="2141"/>
      <c r="AG5" s="2141"/>
      <c r="AH5" s="2141"/>
      <c r="AI5" s="2141"/>
      <c r="AJ5" s="2141"/>
      <c r="AK5" s="2141"/>
      <c r="AL5" s="2142"/>
      <c r="AM5" s="1179" t="s">
        <v>372</v>
      </c>
      <c r="AO5" s="425"/>
      <c r="AP5" s="425" t="str">
        <f t="shared" si="0"/>
        <v xml:space="preserve">Источник тепловой энергии  </v>
      </c>
      <c r="AQ5" s="425"/>
      <c r="AR5" s="425"/>
    </row>
    <row r="6" spans="1:44" ht="14.25" hidden="1" customHeight="1">
      <c r="A6" s="1281"/>
      <c r="B6" s="1281"/>
      <c r="C6" s="1281"/>
      <c r="D6" s="1281"/>
      <c r="E6" s="2147"/>
      <c r="F6" s="2147"/>
      <c r="G6" s="2147"/>
      <c r="H6" s="2147"/>
      <c r="I6" s="2148" t="e">
        <f>S5&amp;".1"</f>
        <v>#N/A</v>
      </c>
      <c r="J6" s="1281"/>
      <c r="K6" s="1281"/>
      <c r="L6" s="1282" t="s">
        <v>373</v>
      </c>
      <c r="M6" s="461"/>
      <c r="P6" s="2150">
        <v>1</v>
      </c>
      <c r="Q6" s="1250"/>
      <c r="R6" s="280"/>
      <c r="S6" s="951"/>
      <c r="T6" s="1301"/>
      <c r="U6" s="1302"/>
      <c r="V6" s="2175"/>
      <c r="W6" s="2176"/>
      <c r="X6" s="2176"/>
      <c r="Y6" s="2176"/>
      <c r="Z6" s="2176"/>
      <c r="AA6" s="2176"/>
      <c r="AB6" s="2176"/>
      <c r="AC6" s="2177"/>
      <c r="AD6" s="2175"/>
      <c r="AE6" s="2176"/>
      <c r="AF6" s="2176"/>
      <c r="AG6" s="2176"/>
      <c r="AH6" s="2176"/>
      <c r="AI6" s="2176"/>
      <c r="AJ6" s="2176"/>
      <c r="AK6" s="2176"/>
      <c r="AL6" s="2177"/>
      <c r="AM6" s="1303"/>
      <c r="AO6" s="425"/>
      <c r="AP6" s="425" t="str">
        <f t="shared" si="0"/>
        <v/>
      </c>
      <c r="AQ6" s="425"/>
      <c r="AR6" s="425"/>
    </row>
    <row r="7" spans="1:44" ht="21" hidden="1" customHeight="1">
      <c r="A7" s="1281"/>
      <c r="B7" s="1281"/>
      <c r="C7" s="1281"/>
      <c r="D7" s="1281"/>
      <c r="E7" s="2147"/>
      <c r="F7" s="2147"/>
      <c r="G7" s="2147"/>
      <c r="H7" s="2147"/>
      <c r="I7" s="2149"/>
      <c r="J7" s="2148" t="e">
        <f>I6&amp;".1"</f>
        <v>#N/A</v>
      </c>
      <c r="K7" s="1281"/>
      <c r="L7" s="1282" t="s">
        <v>376</v>
      </c>
      <c r="M7" s="461"/>
      <c r="N7" s="1284"/>
      <c r="P7" s="2150"/>
      <c r="Q7" s="2150">
        <v>1</v>
      </c>
      <c r="R7" s="281"/>
      <c r="S7" s="1255" t="e">
        <f>$J7</f>
        <v>#N/A</v>
      </c>
      <c r="T7" s="203" t="s">
        <v>377</v>
      </c>
      <c r="U7" s="217"/>
      <c r="V7" s="2134"/>
      <c r="W7" s="2135"/>
      <c r="X7" s="2135"/>
      <c r="Y7" s="2135"/>
      <c r="Z7" s="2135"/>
      <c r="AA7" s="2135"/>
      <c r="AB7" s="2135"/>
      <c r="AC7" s="2136"/>
      <c r="AD7" s="2134"/>
      <c r="AE7" s="2135"/>
      <c r="AF7" s="2135"/>
      <c r="AG7" s="2135"/>
      <c r="AH7" s="2135"/>
      <c r="AI7" s="2135"/>
      <c r="AJ7" s="2135"/>
      <c r="AK7" s="2135"/>
      <c r="AL7" s="2136"/>
      <c r="AM7" s="1179" t="s">
        <v>378</v>
      </c>
      <c r="AO7" s="425"/>
      <c r="AP7" s="425" t="str">
        <f t="shared" si="0"/>
        <v>Группа потребителей</v>
      </c>
      <c r="AQ7" s="425"/>
      <c r="AR7" s="425"/>
    </row>
    <row r="8" spans="1:44" ht="21" hidden="1" customHeight="1">
      <c r="A8" s="1281"/>
      <c r="B8" s="1281"/>
      <c r="C8" s="1281"/>
      <c r="D8" s="1281"/>
      <c r="E8" s="2147"/>
      <c r="F8" s="2147"/>
      <c r="G8" s="2147"/>
      <c r="H8" s="2147"/>
      <c r="I8" s="2149"/>
      <c r="J8" s="2149"/>
      <c r="K8" s="2148" t="e">
        <f>J7&amp;".1"</f>
        <v>#N/A</v>
      </c>
      <c r="L8" s="1282" t="s">
        <v>379</v>
      </c>
      <c r="M8" s="461"/>
      <c r="N8" s="1284"/>
      <c r="O8" s="1284"/>
      <c r="P8" s="2150"/>
      <c r="Q8" s="2150"/>
      <c r="R8" s="281">
        <v>1</v>
      </c>
      <c r="S8" s="1255" t="e">
        <f>$K8</f>
        <v>#N/A</v>
      </c>
      <c r="T8" s="1266"/>
      <c r="U8" s="217"/>
      <c r="V8" s="668"/>
      <c r="W8" s="249"/>
      <c r="X8" s="668"/>
      <c r="Y8" s="1178"/>
      <c r="Z8" s="2151"/>
      <c r="AA8" s="2029" t="s">
        <v>50</v>
      </c>
      <c r="AB8" s="2151"/>
      <c r="AC8" s="2029" t="s">
        <v>50</v>
      </c>
      <c r="AD8" s="668"/>
      <c r="AE8" s="249"/>
      <c r="AF8" s="668"/>
      <c r="AG8" s="1178"/>
      <c r="AH8" s="2151"/>
      <c r="AI8" s="2029" t="s">
        <v>50</v>
      </c>
      <c r="AJ8" s="2151"/>
      <c r="AK8" s="2029" t="s">
        <v>50</v>
      </c>
      <c r="AL8" s="249"/>
      <c r="AM8" s="2169" t="s">
        <v>380</v>
      </c>
      <c r="AN8" s="436" t="e">
        <f ca="1">STRCHECKDATE(V9:AL9)</f>
        <v>#NAME?</v>
      </c>
      <c r="AO8" s="425"/>
      <c r="AP8" s="425" t="str">
        <f t="shared" si="0"/>
        <v/>
      </c>
      <c r="AQ8" s="425"/>
      <c r="AR8" s="425"/>
    </row>
    <row r="9" spans="1:44" ht="0.75" hidden="1" customHeight="1">
      <c r="A9" s="1281"/>
      <c r="B9" s="1281"/>
      <c r="C9" s="1281"/>
      <c r="D9" s="1281"/>
      <c r="E9" s="2147"/>
      <c r="F9" s="2147"/>
      <c r="G9" s="2147"/>
      <c r="H9" s="2147"/>
      <c r="I9" s="2149"/>
      <c r="J9" s="2149"/>
      <c r="K9" s="2148"/>
      <c r="L9" s="1282"/>
      <c r="M9" s="461"/>
      <c r="N9" s="1284"/>
      <c r="O9" s="1284"/>
      <c r="P9" s="2150"/>
      <c r="Q9" s="2150"/>
      <c r="R9" s="281"/>
      <c r="S9" s="1261"/>
      <c r="T9" s="217"/>
      <c r="U9" s="217"/>
      <c r="V9" s="249"/>
      <c r="W9" s="249"/>
      <c r="X9" s="249"/>
      <c r="Y9" s="253" t="str">
        <f>Z8&amp;"-"&amp;AB8</f>
        <v>-</v>
      </c>
      <c r="Z9" s="2152"/>
      <c r="AA9" s="2029"/>
      <c r="AB9" s="2152"/>
      <c r="AC9" s="2029"/>
      <c r="AD9" s="249"/>
      <c r="AE9" s="249"/>
      <c r="AF9" s="249"/>
      <c r="AG9" s="253" t="str">
        <f>AH8&amp;"-"&amp;AJ8</f>
        <v>-</v>
      </c>
      <c r="AH9" s="2152"/>
      <c r="AI9" s="2029"/>
      <c r="AJ9" s="2152"/>
      <c r="AK9" s="2029"/>
      <c r="AL9" s="249"/>
      <c r="AM9" s="2170"/>
      <c r="AO9" s="425"/>
      <c r="AP9" s="425" t="str">
        <f t="shared" si="0"/>
        <v/>
      </c>
      <c r="AQ9" s="425"/>
      <c r="AR9" s="425"/>
    </row>
    <row r="10" spans="1:44" ht="15" hidden="1" customHeight="1">
      <c r="A10" s="1281"/>
      <c r="B10" s="1281"/>
      <c r="C10" s="1281"/>
      <c r="D10" s="1281"/>
      <c r="E10" s="2147"/>
      <c r="F10" s="2147"/>
      <c r="G10" s="2147"/>
      <c r="H10" s="2147"/>
      <c r="I10" s="2149"/>
      <c r="J10" s="2148"/>
      <c r="K10" s="1281"/>
      <c r="L10" s="1282"/>
      <c r="M10" s="461"/>
      <c r="N10" s="1284"/>
      <c r="P10" s="2150"/>
      <c r="Q10" s="2150"/>
      <c r="R10" s="280"/>
      <c r="S10" s="1200"/>
      <c r="T10" s="204" t="s">
        <v>381</v>
      </c>
      <c r="U10" s="294"/>
      <c r="V10" s="294"/>
      <c r="W10" s="294"/>
      <c r="X10" s="294"/>
      <c r="Y10" s="294"/>
      <c r="Z10" s="294"/>
      <c r="AA10" s="294"/>
      <c r="AB10" s="294"/>
      <c r="AC10" s="294"/>
      <c r="AD10" s="294"/>
      <c r="AE10" s="294"/>
      <c r="AF10" s="294"/>
      <c r="AG10" s="294"/>
      <c r="AH10" s="294"/>
      <c r="AI10" s="294"/>
      <c r="AJ10" s="294"/>
      <c r="AK10" s="294"/>
      <c r="AL10" s="248"/>
      <c r="AM10" s="2171"/>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7"/>
      <c r="F11" s="2147"/>
      <c r="G11" s="2147"/>
      <c r="H11" s="2147"/>
      <c r="I11" s="2148"/>
      <c r="J11" s="1281"/>
      <c r="K11" s="1281"/>
      <c r="L11" s="1282"/>
      <c r="M11" s="461"/>
      <c r="P11" s="2150"/>
      <c r="Q11" s="1250"/>
      <c r="R11" s="280"/>
      <c r="S11" s="1200"/>
      <c r="T11" s="291"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7"/>
      <c r="F12" s="2147"/>
      <c r="G12" s="2147"/>
      <c r="H12" s="2146"/>
      <c r="I12" s="1281"/>
      <c r="J12" s="1281"/>
      <c r="K12" s="1281"/>
      <c r="L12" s="1282"/>
      <c r="M12" s="1283"/>
      <c r="N12" s="1283"/>
      <c r="O12" s="461"/>
      <c r="P12" s="284"/>
      <c r="Q12" s="303"/>
      <c r="R12" s="279"/>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25"/>
      <c r="AP12" s="425" t="str">
        <f t="shared" si="0"/>
        <v/>
      </c>
      <c r="AQ12" s="425"/>
      <c r="AR12" s="425"/>
    </row>
    <row r="13" spans="1:44" s="1881" customFormat="1" ht="0.75" hidden="1" customHeight="1">
      <c r="A13" s="1234"/>
      <c r="B13" s="1234"/>
      <c r="C13" s="1234"/>
      <c r="D13" s="1234"/>
      <c r="E13" s="2147"/>
      <c r="F13" s="2147"/>
      <c r="G13" s="2146"/>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7"/>
      <c r="F14" s="2146"/>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6"/>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44"/>
      <c r="AI17" s="2143" t="s">
        <v>50</v>
      </c>
      <c r="AJ17" s="2144"/>
      <c r="AK17" s="2143" t="s">
        <v>50</v>
      </c>
    </row>
    <row r="18" spans="1:44" ht="14.25" hidden="1" customHeight="1">
      <c r="AD18" s="1278"/>
      <c r="AE18" s="1278"/>
      <c r="AF18" s="1278"/>
      <c r="AG18" s="253" t="str">
        <f>AH17&amp;"-"&amp;AJ17</f>
        <v>-</v>
      </c>
      <c r="AH18" s="2143"/>
      <c r="AI18" s="2143"/>
      <c r="AJ18" s="2143"/>
      <c r="AK18" s="214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51" customHeight="1">
      <c r="Q26" s="304"/>
      <c r="R26" s="304"/>
      <c r="S26" s="212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7"/>
      <c r="U26" s="2127"/>
      <c r="V26" s="2127"/>
      <c r="W26" s="2127"/>
      <c r="X26" s="2127"/>
      <c r="Y26" s="2127"/>
      <c r="Z26" s="2127"/>
      <c r="AA26" s="2127"/>
      <c r="AB26" s="2127"/>
      <c r="AC26" s="2127"/>
      <c r="AD26" s="2127"/>
      <c r="AE26" s="2127"/>
      <c r="AF26" s="2127"/>
      <c r="AG26" s="2127"/>
      <c r="AH26" s="2127"/>
      <c r="AI26" s="2127"/>
      <c r="AJ26" s="2127"/>
      <c r="AK26" s="1154"/>
    </row>
    <row r="27" spans="1:44" ht="14.25" customHeight="1">
      <c r="Q27" s="304"/>
      <c r="R27" s="304"/>
      <c r="S27" s="2098" t="str">
        <f>IF(org=0,"Не определено",org)</f>
        <v>ООО "Горводоканал"</v>
      </c>
      <c r="T27" s="2098"/>
      <c r="U27" s="2098"/>
      <c r="V27" s="2098"/>
      <c r="W27" s="2098"/>
      <c r="X27" s="2098"/>
      <c r="Y27" s="2098"/>
      <c r="Z27" s="2098"/>
      <c r="AA27" s="2098"/>
      <c r="AB27" s="2098"/>
      <c r="AC27" s="2098"/>
      <c r="AD27" s="2098"/>
      <c r="AE27" s="2098"/>
      <c r="AF27" s="2098"/>
      <c r="AG27" s="2098"/>
      <c r="AH27" s="2098"/>
      <c r="AI27" s="2098"/>
      <c r="AJ27" s="2098"/>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7" t="s">
        <v>37</v>
      </c>
      <c r="T29" s="2137"/>
      <c r="U29" s="1290"/>
      <c r="V29" s="2139" t="str">
        <f>IF(TITLE_NAME_OR_PR_CHANGE="",IF(TITLE_NAME_OR_PR="","",TITLE_NAME_OR_PR),TITLE_NAME_OR_PR_CHANGE)</f>
        <v/>
      </c>
      <c r="W29" s="2139"/>
      <c r="X29" s="2139"/>
      <c r="Y29" s="2139"/>
      <c r="Z29" s="2139"/>
      <c r="AA29" s="2139"/>
      <c r="AB29" s="2139"/>
      <c r="AC29" s="251"/>
      <c r="AD29" s="2139" t="str">
        <f>IF(TITLE_NAME_OR_PR_CHANGE="",IF(TITLE_NAME_OR_PR="","",TITLE_NAME_OR_PR),TITLE_NAME_OR_PR_CHANGE)</f>
        <v/>
      </c>
      <c r="AE29" s="2139"/>
      <c r="AF29" s="2139"/>
      <c r="AG29" s="2139"/>
      <c r="AH29" s="2139"/>
      <c r="AI29" s="2139"/>
      <c r="AJ29" s="2139"/>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7" t="s">
        <v>393</v>
      </c>
      <c r="T30" s="2137"/>
      <c r="U30" s="1290"/>
      <c r="V30" s="2138" t="str">
        <f>IF(TITLE_DATE_PR_CHANGE="",IF(TITLE_DATE_PR="","",TITLE_DATE_PR),TITLE_DATE_PR_CHANGE)</f>
        <v/>
      </c>
      <c r="W30" s="2138"/>
      <c r="X30" s="2138"/>
      <c r="Y30" s="2138"/>
      <c r="Z30" s="2138"/>
      <c r="AA30" s="2138"/>
      <c r="AB30" s="2138"/>
      <c r="AC30" s="251"/>
      <c r="AD30" s="2138" t="str">
        <f>IF(TITLE_DATE_PR_CHANGE="",IF(TITLE_DATE_PR="","",TITLE_DATE_PR),TITLE_DATE_PR_CHANGE)</f>
        <v/>
      </c>
      <c r="AE30" s="2138"/>
      <c r="AF30" s="2138"/>
      <c r="AG30" s="2138"/>
      <c r="AH30" s="2138"/>
      <c r="AI30" s="2138"/>
      <c r="AJ30" s="2138"/>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7" t="s">
        <v>394</v>
      </c>
      <c r="T31" s="2137"/>
      <c r="U31" s="1290"/>
      <c r="V31" s="2139" t="str">
        <f>IF(TITLE_NUMBER_PR_CHANGE="",IF(TITLE_NUMBER_PR="","",TITLE_NUMBER_PR),TITLE_NUMBER_PR_CHANGE)</f>
        <v/>
      </c>
      <c r="W31" s="2139"/>
      <c r="X31" s="2139"/>
      <c r="Y31" s="2139"/>
      <c r="Z31" s="2139"/>
      <c r="AA31" s="2139"/>
      <c r="AB31" s="2139"/>
      <c r="AC31" s="251"/>
      <c r="AD31" s="2139" t="str">
        <f>IF(TITLE_NUMBER_PR_CHANGE="",IF(TITLE_NUMBER_PR="","",TITLE_NUMBER_PR),TITLE_NUMBER_PR_CHANGE)</f>
        <v/>
      </c>
      <c r="AE31" s="2139"/>
      <c r="AF31" s="2139"/>
      <c r="AG31" s="2139"/>
      <c r="AH31" s="2139"/>
      <c r="AI31" s="2139"/>
      <c r="AJ31" s="2139"/>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7" t="s">
        <v>38</v>
      </c>
      <c r="T32" s="2137"/>
      <c r="U32" s="1290"/>
      <c r="V32" s="2139" t="str">
        <f>IF(TITLE_IST_PUB_CHANGE="",IF(TITLE_IST_PUB="","",TITLE_IST_PUB),TITLE_IST_PUB_CHANGE)</f>
        <v/>
      </c>
      <c r="W32" s="2139"/>
      <c r="X32" s="2139"/>
      <c r="Y32" s="2139"/>
      <c r="Z32" s="2139"/>
      <c r="AA32" s="2139"/>
      <c r="AB32" s="2139"/>
      <c r="AC32" s="251"/>
      <c r="AD32" s="2139" t="str">
        <f>IF(TITLE_IST_PUB_CHANGE="",IF(TITLE_IST_PUB="","",TITLE_IST_PUB),TITLE_IST_PUB_CHANGE)</f>
        <v/>
      </c>
      <c r="AE32" s="2139"/>
      <c r="AF32" s="2139"/>
      <c r="AG32" s="2139"/>
      <c r="AH32" s="2139"/>
      <c r="AI32" s="2139"/>
      <c r="AJ32" s="2139"/>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7" t="s">
        <v>395</v>
      </c>
      <c r="T34" s="2137"/>
      <c r="U34" s="1290"/>
      <c r="V34" s="2138" t="str">
        <f>IF(TITLE_DATE_PR_CHANGE="",IF(TITLE_DATE_PR="","",TITLE_DATE_PR),TITLE_DATE_PR_CHANGE)</f>
        <v/>
      </c>
      <c r="W34" s="2138"/>
      <c r="X34" s="2138"/>
      <c r="Y34" s="2138"/>
      <c r="Z34" s="2138"/>
      <c r="AA34" s="2138"/>
      <c r="AB34" s="2138"/>
      <c r="AC34" s="251"/>
      <c r="AD34" s="2138" t="str">
        <f>IF(TITLE_DATE_PR_CHANGE="",IF(TITLE_DATE_PR="","",TITLE_DATE_PR),TITLE_DATE_PR_CHANGE)</f>
        <v/>
      </c>
      <c r="AE34" s="2138"/>
      <c r="AF34" s="2138"/>
      <c r="AG34" s="2138"/>
      <c r="AH34" s="2138"/>
      <c r="AI34" s="2138"/>
      <c r="AJ34" s="2138"/>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7" t="s">
        <v>396</v>
      </c>
      <c r="T35" s="2137"/>
      <c r="U35" s="1290"/>
      <c r="V35" s="2139" t="str">
        <f>IF(TITLE_NUMBER_PR_CHANGE="",IF(TITLE_NUMBER_PR="","",TITLE_NUMBER_PR),TITLE_NUMBER_PR_CHANGE)</f>
        <v/>
      </c>
      <c r="W35" s="2139"/>
      <c r="X35" s="2139"/>
      <c r="Y35" s="2139"/>
      <c r="Z35" s="2139"/>
      <c r="AA35" s="2139"/>
      <c r="AB35" s="2139"/>
      <c r="AC35" s="251"/>
      <c r="AD35" s="2139" t="str">
        <f>IF(TITLE_NUMBER_PR_CHANGE="",IF(TITLE_NUMBER_PR="","",TITLE_NUMBER_PR),TITLE_NUMBER_PR_CHANGE)</f>
        <v/>
      </c>
      <c r="AE35" s="2139"/>
      <c r="AF35" s="2139"/>
      <c r="AG35" s="2139"/>
      <c r="AH35" s="2139"/>
      <c r="AI35" s="2139"/>
      <c r="AJ35" s="2139"/>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58"/>
      <c r="W37" s="2158"/>
      <c r="X37" s="2158"/>
      <c r="Y37" s="2158"/>
      <c r="Z37" s="2158"/>
      <c r="AA37" s="2158"/>
      <c r="AB37" s="2158"/>
      <c r="AC37" s="2158"/>
      <c r="AD37" s="2158"/>
      <c r="AE37" s="2158"/>
      <c r="AF37" s="2158"/>
      <c r="AG37" s="2158"/>
      <c r="AH37" s="2158"/>
      <c r="AI37" s="2158"/>
      <c r="AJ37" s="2158"/>
      <c r="AK37" s="2158"/>
    </row>
    <row r="38" spans="1:44" ht="14.25" customHeight="1">
      <c r="Q38" s="304"/>
      <c r="R38" s="304"/>
      <c r="S38" s="2019" t="s">
        <v>268</v>
      </c>
      <c r="T38" s="2019"/>
      <c r="U38" s="2019"/>
      <c r="V38" s="2019"/>
      <c r="W38" s="2019"/>
      <c r="X38" s="2019"/>
      <c r="Y38" s="2019"/>
      <c r="Z38" s="2019"/>
      <c r="AA38" s="2019"/>
      <c r="AB38" s="2019"/>
      <c r="AC38" s="2019"/>
      <c r="AD38" s="2019"/>
      <c r="AE38" s="2019"/>
      <c r="AF38" s="2019"/>
      <c r="AG38" s="2019"/>
      <c r="AH38" s="2019"/>
      <c r="AI38" s="2019"/>
      <c r="AJ38" s="2019"/>
      <c r="AK38" s="2019"/>
      <c r="AL38" s="2019"/>
      <c r="AM38" s="2019" t="s">
        <v>269</v>
      </c>
    </row>
    <row r="39" spans="1:44" ht="14.25" customHeight="1">
      <c r="Q39" s="304"/>
      <c r="R39" s="304"/>
      <c r="S39" s="2159" t="s">
        <v>73</v>
      </c>
      <c r="T39" s="2107" t="s">
        <v>398</v>
      </c>
      <c r="U39" s="218"/>
      <c r="V39" s="2160" t="s">
        <v>399</v>
      </c>
      <c r="W39" s="2161"/>
      <c r="X39" s="2161"/>
      <c r="Y39" s="2161"/>
      <c r="Z39" s="2161"/>
      <c r="AA39" s="2161"/>
      <c r="AB39" s="2162"/>
      <c r="AC39" s="2163" t="s">
        <v>400</v>
      </c>
      <c r="AD39" s="2160" t="s">
        <v>399</v>
      </c>
      <c r="AE39" s="2161"/>
      <c r="AF39" s="2161"/>
      <c r="AG39" s="2161"/>
      <c r="AH39" s="2161"/>
      <c r="AI39" s="2161"/>
      <c r="AJ39" s="2162"/>
      <c r="AK39" s="2163" t="s">
        <v>401</v>
      </c>
      <c r="AL39" s="2166" t="s">
        <v>402</v>
      </c>
      <c r="AM39" s="2019"/>
    </row>
    <row r="40" spans="1:44" ht="33.75" customHeight="1">
      <c r="Q40" s="304"/>
      <c r="R40" s="304"/>
      <c r="S40" s="2159"/>
      <c r="T40" s="2107"/>
      <c r="U40" s="940"/>
      <c r="V40" s="2076" t="s">
        <v>403</v>
      </c>
      <c r="W40" s="2155"/>
      <c r="X40" s="2001" t="s">
        <v>405</v>
      </c>
      <c r="Y40" s="2000"/>
      <c r="Z40" s="2001" t="s">
        <v>406</v>
      </c>
      <c r="AA40" s="2006"/>
      <c r="AB40" s="2000"/>
      <c r="AC40" s="2164"/>
      <c r="AD40" s="2076" t="s">
        <v>403</v>
      </c>
      <c r="AE40" s="2155"/>
      <c r="AF40" s="2001" t="s">
        <v>405</v>
      </c>
      <c r="AG40" s="2000"/>
      <c r="AH40" s="2001" t="s">
        <v>406</v>
      </c>
      <c r="AI40" s="2006"/>
      <c r="AJ40" s="2000"/>
      <c r="AK40" s="2164"/>
      <c r="AL40" s="2167"/>
      <c r="AM40" s="2019"/>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9"/>
      <c r="T41" s="2107"/>
      <c r="U41" s="219"/>
      <c r="V41" s="2132"/>
      <c r="W41" s="2156"/>
      <c r="X41" s="1130" t="s">
        <v>414</v>
      </c>
      <c r="Y41" s="1130" t="s">
        <v>415</v>
      </c>
      <c r="Z41" s="1257" t="s">
        <v>416</v>
      </c>
      <c r="AA41" s="2112" t="s">
        <v>417</v>
      </c>
      <c r="AB41" s="2126"/>
      <c r="AC41" s="2165"/>
      <c r="AD41" s="2132"/>
      <c r="AE41" s="2156"/>
      <c r="AF41" s="1130" t="s">
        <v>414</v>
      </c>
      <c r="AG41" s="1130" t="s">
        <v>415</v>
      </c>
      <c r="AH41" s="1257" t="s">
        <v>416</v>
      </c>
      <c r="AI41" s="2112" t="s">
        <v>417</v>
      </c>
      <c r="AJ41" s="2126"/>
      <c r="AK41" s="2165"/>
      <c r="AL41" s="2168"/>
      <c r="AM41" s="2019"/>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7">
        <f ca="1">OFFSET(AA42,0,-1)+1</f>
        <v>4</v>
      </c>
      <c r="AB42" s="2157"/>
      <c r="AC42" s="1254">
        <f ca="1">OFFSET(AC42,0,-2)+1</f>
        <v>5</v>
      </c>
      <c r="AD42" s="1254">
        <f ca="1">OFFSET(AD42,0,-1)+1</f>
        <v>6</v>
      </c>
      <c r="AE42" s="1254"/>
      <c r="AF42" s="1254">
        <f ca="1">OFFSET(AF42,0,-1)+1</f>
        <v>1</v>
      </c>
      <c r="AG42" s="1254">
        <f ca="1">OFFSET(AG42,0,-1)+1</f>
        <v>2</v>
      </c>
      <c r="AH42" s="1254">
        <f ca="1">OFFSET(AH42,0,-1)+1</f>
        <v>3</v>
      </c>
      <c r="AI42" s="2157">
        <f ca="1">OFFSET(AI42,0,-1)+1</f>
        <v>4</v>
      </c>
      <c r="AJ42" s="2157"/>
      <c r="AK42" s="1254">
        <f ca="1">OFFSET(AK42,0,-2)+1</f>
        <v>5</v>
      </c>
      <c r="AL42" s="1156">
        <f ca="1">OFFSET(AL42,0,-1)</f>
        <v>5</v>
      </c>
      <c r="AM42" s="1254">
        <f ca="1">OFFSET(AM42,0,-1)+1</f>
        <v>6</v>
      </c>
      <c r="AN42" s="436"/>
      <c r="AO42" s="436"/>
      <c r="AP42" s="436"/>
      <c r="AQ42" s="436"/>
      <c r="AR42" s="436"/>
    </row>
    <row r="43" spans="1:44" ht="21" customHeight="1">
      <c r="A43" s="1281" t="s">
        <v>150</v>
      </c>
      <c r="B43" s="1281"/>
      <c r="C43" s="1281"/>
      <c r="D43" s="1281"/>
      <c r="E43" s="2146">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40"/>
      <c r="W43" s="2141"/>
      <c r="X43" s="2141"/>
      <c r="Y43" s="2141"/>
      <c r="Z43" s="2141"/>
      <c r="AA43" s="2141"/>
      <c r="AB43" s="2141"/>
      <c r="AC43" s="2142"/>
      <c r="AD43" s="2140" t="str">
        <f>INDEX(PT_DIFFERENTIATION_NTAR,MATCH(A43,PT_DIFFERENTIATION_NTAR_ID,0))</f>
        <v/>
      </c>
      <c r="AE43" s="2141"/>
      <c r="AF43" s="2141"/>
      <c r="AG43" s="2141"/>
      <c r="AH43" s="2141"/>
      <c r="AI43" s="2141"/>
      <c r="AJ43" s="2141"/>
      <c r="AK43" s="2141"/>
      <c r="AL43" s="2142"/>
      <c r="AM43" s="11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150</v>
      </c>
      <c r="B44" s="1281" t="s">
        <v>151</v>
      </c>
      <c r="C44" s="1281"/>
      <c r="D44" s="1281"/>
      <c r="E44" s="2147"/>
      <c r="F44" s="2146">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40"/>
      <c r="W44" s="2141"/>
      <c r="X44" s="2141"/>
      <c r="Y44" s="2141"/>
      <c r="Z44" s="2141"/>
      <c r="AA44" s="2141"/>
      <c r="AB44" s="2141"/>
      <c r="AC44" s="2142"/>
      <c r="AD44" s="2140" t="str">
        <f>INDEX(PT_DIFFERENTIATION_TER,MATCH(B44,PT_DIFFERENTIATION_TER_ID,0))</f>
        <v/>
      </c>
      <c r="AE44" s="2141"/>
      <c r="AF44" s="2141"/>
      <c r="AG44" s="2141"/>
      <c r="AH44" s="2141"/>
      <c r="AI44" s="2141"/>
      <c r="AJ44" s="2141"/>
      <c r="AK44" s="2141"/>
      <c r="AL44" s="2142"/>
      <c r="AM44" s="1179" t="s">
        <v>368</v>
      </c>
      <c r="AO44" s="425"/>
      <c r="AP44" s="425" t="str">
        <f t="shared" si="1"/>
        <v>Территория действия тарифа</v>
      </c>
      <c r="AQ44" s="425"/>
      <c r="AR44" s="425"/>
    </row>
    <row r="45" spans="1:44" ht="23.25" customHeight="1">
      <c r="A45" s="1281" t="s">
        <v>150</v>
      </c>
      <c r="B45" s="1281" t="s">
        <v>151</v>
      </c>
      <c r="C45" s="1281" t="s">
        <v>152</v>
      </c>
      <c r="D45" s="1281"/>
      <c r="E45" s="2147"/>
      <c r="F45" s="2147"/>
      <c r="G45" s="2146">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40"/>
      <c r="W45" s="2141"/>
      <c r="X45" s="2141"/>
      <c r="Y45" s="2141"/>
      <c r="Z45" s="2141"/>
      <c r="AA45" s="2141"/>
      <c r="AB45" s="2141"/>
      <c r="AC45" s="2142"/>
      <c r="AD45" s="2140" t="str">
        <f>INDEX(PT_DIFFERENTIATION_CS,MATCH(C45,PT_DIFFERENTIATION_CS_ID,0))</f>
        <v/>
      </c>
      <c r="AE45" s="2141"/>
      <c r="AF45" s="2141"/>
      <c r="AG45" s="2141"/>
      <c r="AH45" s="2141"/>
      <c r="AI45" s="2141"/>
      <c r="AJ45" s="2141"/>
      <c r="AK45" s="2141"/>
      <c r="AL45" s="2142"/>
      <c r="AM45" s="1179" t="s">
        <v>370</v>
      </c>
      <c r="AO45" s="425"/>
      <c r="AP45" s="425" t="str">
        <f t="shared" si="1"/>
        <v xml:space="preserve">Наименование системы теплоснабжения </v>
      </c>
      <c r="AQ45" s="425"/>
      <c r="AR45" s="425"/>
    </row>
    <row r="46" spans="1:44" ht="21" customHeight="1">
      <c r="A46" s="1281" t="s">
        <v>150</v>
      </c>
      <c r="B46" s="1281" t="s">
        <v>151</v>
      </c>
      <c r="C46" s="1281" t="s">
        <v>152</v>
      </c>
      <c r="D46" s="1281" t="s">
        <v>153</v>
      </c>
      <c r="E46" s="2147"/>
      <c r="F46" s="2147"/>
      <c r="G46" s="2147"/>
      <c r="H46" s="2146">
        <v>1</v>
      </c>
      <c r="I46" s="1281"/>
      <c r="J46" s="1281"/>
      <c r="K46" s="1281"/>
      <c r="L46" s="1282"/>
      <c r="M46" s="1283"/>
      <c r="N46" s="1283"/>
      <c r="O46" s="1283"/>
      <c r="P46" s="278"/>
      <c r="Q46" s="276"/>
      <c r="R46" s="277"/>
      <c r="S46" s="1255" t="str">
        <f>INDEX(PT_DIFFERENTIATION_NUM_IST_TE,MATCH(D46,PT_DIFFERENTIATION_IST_TE_ID,0))</f>
        <v>...</v>
      </c>
      <c r="T46" s="229" t="s">
        <v>371</v>
      </c>
      <c r="U46" s="217"/>
      <c r="V46" s="2140"/>
      <c r="W46" s="2141"/>
      <c r="X46" s="2141"/>
      <c r="Y46" s="2141"/>
      <c r="Z46" s="2141"/>
      <c r="AA46" s="2141"/>
      <c r="AB46" s="2141"/>
      <c r="AC46" s="2142"/>
      <c r="AD46" s="2140" t="str">
        <f>INDEX(PT_DIFFERENTIATION_IST_TE,MATCH(D46,PT_DIFFERENTIATION_IST_TE_ID,0))</f>
        <v/>
      </c>
      <c r="AE46" s="2141"/>
      <c r="AF46" s="2141"/>
      <c r="AG46" s="2141"/>
      <c r="AH46" s="2141"/>
      <c r="AI46" s="2141"/>
      <c r="AJ46" s="2141"/>
      <c r="AK46" s="2141"/>
      <c r="AL46" s="2142"/>
      <c r="AM46" s="1179" t="s">
        <v>372</v>
      </c>
      <c r="AO46" s="425"/>
      <c r="AP46" s="425" t="str">
        <f t="shared" si="1"/>
        <v xml:space="preserve">Источник тепловой энергии  </v>
      </c>
      <c r="AQ46" s="425"/>
      <c r="AR46" s="425"/>
    </row>
    <row r="47" spans="1:44" s="1811" customFormat="1" ht="0" hidden="1" customHeight="1">
      <c r="A47" s="1262" t="s">
        <v>150</v>
      </c>
      <c r="B47" s="1262" t="s">
        <v>151</v>
      </c>
      <c r="C47" s="1262" t="s">
        <v>152</v>
      </c>
      <c r="D47" s="1262" t="s">
        <v>153</v>
      </c>
      <c r="E47" s="2147"/>
      <c r="F47" s="2147"/>
      <c r="G47" s="2147"/>
      <c r="H47" s="2147"/>
      <c r="I47" s="2148" t="str">
        <f>S46&amp;".1"</f>
        <v>....1</v>
      </c>
      <c r="J47" s="1262"/>
      <c r="K47" s="1262"/>
      <c r="L47" s="1265" t="s">
        <v>373</v>
      </c>
      <c r="M47" s="435"/>
      <c r="N47" s="435"/>
      <c r="O47" s="435"/>
      <c r="P47" s="2150">
        <v>1</v>
      </c>
      <c r="Q47" s="1250"/>
      <c r="R47" s="280"/>
      <c r="S47" s="951"/>
      <c r="T47" s="1301"/>
      <c r="U47" s="1302"/>
      <c r="V47" s="2175"/>
      <c r="W47" s="2176"/>
      <c r="X47" s="2176"/>
      <c r="Y47" s="2176"/>
      <c r="Z47" s="2176"/>
      <c r="AA47" s="2176"/>
      <c r="AB47" s="2176"/>
      <c r="AC47" s="2177"/>
      <c r="AD47" s="2175"/>
      <c r="AE47" s="2176"/>
      <c r="AF47" s="2176"/>
      <c r="AG47" s="2176"/>
      <c r="AH47" s="2176"/>
      <c r="AI47" s="2176"/>
      <c r="AJ47" s="2176"/>
      <c r="AK47" s="2176"/>
      <c r="AL47" s="2177"/>
      <c r="AM47" s="1303"/>
      <c r="AO47" s="425"/>
      <c r="AP47" s="425" t="str">
        <f t="shared" si="1"/>
        <v/>
      </c>
      <c r="AQ47" s="425"/>
      <c r="AR47" s="425"/>
    </row>
    <row r="48" spans="1:44" ht="21" customHeight="1">
      <c r="A48" s="1281" t="s">
        <v>150</v>
      </c>
      <c r="B48" s="1281" t="s">
        <v>151</v>
      </c>
      <c r="C48" s="1281" t="s">
        <v>152</v>
      </c>
      <c r="D48" s="1281" t="s">
        <v>153</v>
      </c>
      <c r="E48" s="2147"/>
      <c r="F48" s="2147"/>
      <c r="G48" s="2147"/>
      <c r="H48" s="2147"/>
      <c r="I48" s="2149"/>
      <c r="J48" s="2148" t="str">
        <f>S46&amp;".1"</f>
        <v>....1</v>
      </c>
      <c r="K48" s="1281"/>
      <c r="L48" s="1282" t="s">
        <v>376</v>
      </c>
      <c r="P48" s="2150"/>
      <c r="Q48" s="2150">
        <v>1</v>
      </c>
      <c r="R48" s="281"/>
      <c r="S48" s="1255" t="str">
        <f>$J48</f>
        <v>....1</v>
      </c>
      <c r="T48" s="203" t="s">
        <v>377</v>
      </c>
      <c r="U48" s="217"/>
      <c r="V48" s="2134"/>
      <c r="W48" s="2135"/>
      <c r="X48" s="2135"/>
      <c r="Y48" s="2135"/>
      <c r="Z48" s="2135"/>
      <c r="AA48" s="2135"/>
      <c r="AB48" s="2135"/>
      <c r="AC48" s="2136"/>
      <c r="AD48" s="2134"/>
      <c r="AE48" s="2135"/>
      <c r="AF48" s="2135"/>
      <c r="AG48" s="2135"/>
      <c r="AH48" s="2135"/>
      <c r="AI48" s="2135"/>
      <c r="AJ48" s="2135"/>
      <c r="AK48" s="2135"/>
      <c r="AL48" s="2136"/>
      <c r="AM48" s="1179" t="s">
        <v>378</v>
      </c>
      <c r="AO48" s="425"/>
      <c r="AP48" s="425" t="str">
        <f t="shared" si="1"/>
        <v>Группа потребителей</v>
      </c>
      <c r="AQ48" s="425"/>
      <c r="AR48" s="425"/>
    </row>
    <row r="49" spans="1:44" ht="21" customHeight="1">
      <c r="A49" s="1281" t="s">
        <v>150</v>
      </c>
      <c r="B49" s="1281" t="s">
        <v>151</v>
      </c>
      <c r="C49" s="1281" t="s">
        <v>152</v>
      </c>
      <c r="D49" s="1281" t="s">
        <v>153</v>
      </c>
      <c r="E49" s="2147"/>
      <c r="F49" s="2147"/>
      <c r="G49" s="2147"/>
      <c r="H49" s="2147"/>
      <c r="I49" s="2149"/>
      <c r="J49" s="2149"/>
      <c r="K49" s="2148" t="str">
        <f>J48&amp;".1"</f>
        <v>....1.1</v>
      </c>
      <c r="L49" s="1282" t="s">
        <v>379</v>
      </c>
      <c r="P49" s="2150"/>
      <c r="Q49" s="2150"/>
      <c r="R49" s="281">
        <v>1</v>
      </c>
      <c r="S49" s="1255" t="str">
        <f>$K49</f>
        <v>....1.1</v>
      </c>
      <c r="T49" s="1266"/>
      <c r="U49" s="217"/>
      <c r="V49" s="668"/>
      <c r="W49" s="249"/>
      <c r="X49" s="668"/>
      <c r="Y49" s="1178"/>
      <c r="Z49" s="2151"/>
      <c r="AA49" s="2029" t="s">
        <v>50</v>
      </c>
      <c r="AB49" s="2151"/>
      <c r="AC49" s="2029" t="s">
        <v>50</v>
      </c>
      <c r="AD49" s="668"/>
      <c r="AE49" s="249"/>
      <c r="AF49" s="668"/>
      <c r="AG49" s="1178"/>
      <c r="AH49" s="2151"/>
      <c r="AI49" s="2029" t="s">
        <v>50</v>
      </c>
      <c r="AJ49" s="2153"/>
      <c r="AK49" s="2029" t="s">
        <v>50</v>
      </c>
      <c r="AL49" s="1267"/>
      <c r="AM49" s="2169" t="s">
        <v>420</v>
      </c>
      <c r="AN49" s="436" t="e">
        <f ca="1">STRCHECKDATE(V50:AL50)</f>
        <v>#NAME?</v>
      </c>
      <c r="AO49" s="425"/>
      <c r="AP49" s="425" t="str">
        <f t="shared" si="1"/>
        <v/>
      </c>
      <c r="AQ49" s="425"/>
      <c r="AR49" s="425"/>
    </row>
    <row r="50" spans="1:44" ht="0.75" customHeight="1">
      <c r="A50" s="1281" t="s">
        <v>150</v>
      </c>
      <c r="B50" s="1281" t="s">
        <v>151</v>
      </c>
      <c r="C50" s="1281" t="s">
        <v>152</v>
      </c>
      <c r="D50" s="1281" t="s">
        <v>153</v>
      </c>
      <c r="E50" s="2147"/>
      <c r="F50" s="2147"/>
      <c r="G50" s="2147"/>
      <c r="H50" s="2147"/>
      <c r="I50" s="2149"/>
      <c r="J50" s="2149"/>
      <c r="K50" s="2148"/>
      <c r="L50" s="1282"/>
      <c r="P50" s="2150"/>
      <c r="Q50" s="2150"/>
      <c r="R50" s="281"/>
      <c r="S50" s="1261"/>
      <c r="T50" s="217"/>
      <c r="U50" s="217"/>
      <c r="V50" s="249"/>
      <c r="W50" s="249"/>
      <c r="X50" s="249"/>
      <c r="Y50" s="253" t="str">
        <f>Z49&amp;"-"&amp;AB49</f>
        <v>-</v>
      </c>
      <c r="Z50" s="2152"/>
      <c r="AA50" s="2029"/>
      <c r="AB50" s="2152"/>
      <c r="AC50" s="2029"/>
      <c r="AD50" s="249"/>
      <c r="AE50" s="249"/>
      <c r="AF50" s="249"/>
      <c r="AG50" s="253" t="str">
        <f>AH49&amp;"-"&amp;AJ49</f>
        <v>-</v>
      </c>
      <c r="AH50" s="2152"/>
      <c r="AI50" s="2029"/>
      <c r="AJ50" s="2154"/>
      <c r="AK50" s="2029"/>
      <c r="AL50" s="1268"/>
      <c r="AM50" s="2170"/>
      <c r="AO50" s="425"/>
      <c r="AP50" s="425" t="str">
        <f t="shared" si="1"/>
        <v/>
      </c>
      <c r="AQ50" s="425"/>
      <c r="AR50" s="425"/>
    </row>
    <row r="51" spans="1:44" ht="11.25" customHeight="1">
      <c r="A51" s="1281" t="s">
        <v>150</v>
      </c>
      <c r="B51" s="1281" t="s">
        <v>151</v>
      </c>
      <c r="C51" s="1281" t="s">
        <v>152</v>
      </c>
      <c r="D51" s="1281" t="s">
        <v>153</v>
      </c>
      <c r="E51" s="2147"/>
      <c r="F51" s="2147"/>
      <c r="G51" s="2147"/>
      <c r="H51" s="2147"/>
      <c r="I51" s="2149"/>
      <c r="J51" s="2148"/>
      <c r="K51" s="1281"/>
      <c r="L51" s="1282"/>
      <c r="P51" s="2150"/>
      <c r="Q51" s="2150"/>
      <c r="R51" s="280"/>
      <c r="S51" s="1200"/>
      <c r="T51" s="204" t="s">
        <v>381</v>
      </c>
      <c r="U51" s="294"/>
      <c r="V51" s="294"/>
      <c r="W51" s="294"/>
      <c r="X51" s="294"/>
      <c r="Y51" s="294"/>
      <c r="Z51" s="294"/>
      <c r="AA51" s="294"/>
      <c r="AB51" s="294"/>
      <c r="AC51" s="294"/>
      <c r="AD51" s="294"/>
      <c r="AE51" s="294"/>
      <c r="AF51" s="294"/>
      <c r="AG51" s="294"/>
      <c r="AH51" s="294"/>
      <c r="AI51" s="294"/>
      <c r="AJ51" s="294"/>
      <c r="AK51" s="294"/>
      <c r="AL51" s="248"/>
      <c r="AM51" s="2171"/>
      <c r="AO51" s="425"/>
      <c r="AP51" s="425" t="str">
        <f t="shared" si="1"/>
        <v>Добавить вид теплоносителя (параметры теплоносителя)</v>
      </c>
      <c r="AQ51" s="425"/>
      <c r="AR51" s="425"/>
    </row>
    <row r="52" spans="1:44" ht="11.25" customHeight="1">
      <c r="A52" s="1281" t="s">
        <v>150</v>
      </c>
      <c r="B52" s="1281" t="s">
        <v>151</v>
      </c>
      <c r="C52" s="1281" t="s">
        <v>152</v>
      </c>
      <c r="D52" s="1281" t="s">
        <v>153</v>
      </c>
      <c r="E52" s="2147"/>
      <c r="F52" s="2147"/>
      <c r="G52" s="2147"/>
      <c r="H52" s="2147"/>
      <c r="I52" s="2148"/>
      <c r="J52" s="1281"/>
      <c r="K52" s="1281"/>
      <c r="L52" s="1282"/>
      <c r="P52" s="2150"/>
      <c r="Q52" s="1250"/>
      <c r="R52" s="280"/>
      <c r="S52" s="1200"/>
      <c r="T52" s="291"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0" hidden="1" customHeight="1">
      <c r="A53" s="1281" t="s">
        <v>150</v>
      </c>
      <c r="B53" s="1281" t="s">
        <v>151</v>
      </c>
      <c r="C53" s="1281" t="s">
        <v>152</v>
      </c>
      <c r="D53" s="1281" t="s">
        <v>153</v>
      </c>
      <c r="E53" s="2147"/>
      <c r="F53" s="2147"/>
      <c r="G53" s="2147"/>
      <c r="H53" s="2146"/>
      <c r="I53" s="1281"/>
      <c r="J53" s="1281"/>
      <c r="K53" s="1281"/>
      <c r="L53" s="1282"/>
      <c r="M53" s="1283"/>
      <c r="N53" s="1283"/>
      <c r="O53" s="461"/>
      <c r="P53" s="284"/>
      <c r="Q53" s="303"/>
      <c r="R53" s="279"/>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25"/>
      <c r="AP53" s="425" t="str">
        <f t="shared" si="1"/>
        <v/>
      </c>
      <c r="AQ53" s="425"/>
      <c r="AR53" s="425"/>
    </row>
    <row r="54" spans="1:44" s="1881" customFormat="1" ht="0.75" customHeight="1">
      <c r="A54" s="1262" t="s">
        <v>150</v>
      </c>
      <c r="B54" s="1262" t="s">
        <v>151</v>
      </c>
      <c r="C54" s="1262" t="s">
        <v>152</v>
      </c>
      <c r="D54" s="1234"/>
      <c r="E54" s="2147"/>
      <c r="F54" s="2147"/>
      <c r="G54" s="2146"/>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150</v>
      </c>
      <c r="B55" s="1262" t="s">
        <v>151</v>
      </c>
      <c r="C55" s="1234"/>
      <c r="D55" s="1234"/>
      <c r="E55" s="2147"/>
      <c r="F55" s="2146"/>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150</v>
      </c>
      <c r="B56" s="1262"/>
      <c r="C56" s="1262"/>
      <c r="D56" s="1262"/>
      <c r="E56" s="2146"/>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18.75" customHeight="1">
      <c r="O59" s="461"/>
      <c r="S59" s="1166"/>
      <c r="T59" s="2145"/>
      <c r="U59" s="2145"/>
      <c r="V59" s="2145"/>
      <c r="W59" s="2145"/>
      <c r="X59" s="2145"/>
      <c r="Y59" s="2145"/>
      <c r="Z59" s="2145"/>
      <c r="AA59" s="2145"/>
      <c r="AB59" s="2145"/>
      <c r="AC59" s="2145"/>
      <c r="AD59" s="2145"/>
      <c r="AE59" s="2145"/>
      <c r="AF59" s="2145"/>
      <c r="AG59" s="2145"/>
      <c r="AH59" s="2145"/>
      <c r="AI59" s="2145"/>
      <c r="AJ59" s="2145"/>
      <c r="AK59" s="2145"/>
      <c r="AL59" s="2145"/>
      <c r="AM59" s="2145"/>
    </row>
    <row r="60" spans="1:44" ht="27.75" customHeight="1">
      <c r="O60" s="461"/>
      <c r="T60" s="2145"/>
      <c r="U60" s="2145"/>
      <c r="V60" s="2145"/>
      <c r="W60" s="2145"/>
      <c r="X60" s="2145"/>
      <c r="Y60" s="2145"/>
      <c r="Z60" s="2145"/>
      <c r="AA60" s="2145"/>
      <c r="AB60" s="2145"/>
      <c r="AC60" s="2145"/>
      <c r="AD60" s="2145"/>
      <c r="AE60" s="2145"/>
      <c r="AF60" s="2145"/>
      <c r="AG60" s="2145"/>
      <c r="AH60" s="2145"/>
      <c r="AI60" s="2145"/>
      <c r="AJ60" s="2145"/>
      <c r="AK60" s="2145"/>
      <c r="AL60" s="2145"/>
      <c r="AM60" s="2145"/>
    </row>
    <row r="61" spans="1:44" ht="39.75" customHeight="1">
      <c r="O61" s="461"/>
      <c r="T61" s="2145"/>
      <c r="U61" s="2145"/>
      <c r="V61" s="2145"/>
      <c r="W61" s="2145"/>
      <c r="X61" s="2145"/>
      <c r="Y61" s="2145"/>
      <c r="Z61" s="2145"/>
      <c r="AA61" s="2145"/>
      <c r="AB61" s="2145"/>
      <c r="AC61" s="2145"/>
      <c r="AD61" s="2145"/>
      <c r="AE61" s="2145"/>
      <c r="AF61" s="2145"/>
      <c r="AG61" s="2145"/>
      <c r="AH61" s="2145"/>
      <c r="AI61" s="2145"/>
      <c r="AJ61" s="2145"/>
      <c r="AK61" s="2145"/>
      <c r="AL61" s="2145"/>
      <c r="AM61" s="2145"/>
    </row>
    <row r="62" spans="1:44" ht="14.25" customHeight="1">
      <c r="O62" s="461"/>
    </row>
    <row r="63" spans="1:44" ht="19.5" customHeight="1">
      <c r="O63" s="461"/>
      <c r="S63" s="1166"/>
      <c r="T63" s="2059"/>
      <c r="U63" s="2145"/>
      <c r="V63" s="2145"/>
      <c r="W63" s="2145"/>
      <c r="X63" s="2145"/>
      <c r="Y63" s="2145"/>
      <c r="Z63" s="2145"/>
      <c r="AA63" s="2145"/>
      <c r="AB63" s="2145"/>
      <c r="AC63" s="2145"/>
      <c r="AD63" s="2145"/>
      <c r="AE63" s="2145"/>
      <c r="AF63" s="2145"/>
      <c r="AG63" s="2145"/>
      <c r="AH63" s="2145"/>
      <c r="AI63" s="2145"/>
      <c r="AJ63" s="2145"/>
      <c r="AK63" s="2145"/>
      <c r="AL63" s="2145"/>
      <c r="AM63" s="2145"/>
    </row>
    <row r="64" spans="1:44" ht="27.75" customHeight="1">
      <c r="O64" s="461"/>
      <c r="T64" s="2145"/>
      <c r="U64" s="2145"/>
      <c r="V64" s="2145"/>
      <c r="W64" s="2145"/>
      <c r="X64" s="2145"/>
      <c r="Y64" s="2145"/>
      <c r="Z64" s="2145"/>
      <c r="AA64" s="2145"/>
      <c r="AB64" s="2145"/>
      <c r="AC64" s="2145"/>
      <c r="AD64" s="2145"/>
      <c r="AE64" s="2145"/>
      <c r="AF64" s="2145"/>
      <c r="AG64" s="2145"/>
      <c r="AH64" s="2145"/>
      <c r="AI64" s="2145"/>
      <c r="AJ64" s="2145"/>
      <c r="AK64" s="2145"/>
      <c r="AL64" s="2145"/>
      <c r="AM64" s="2145"/>
    </row>
    <row r="65" spans="20:39" ht="33.75" customHeight="1">
      <c r="T65" s="2145"/>
      <c r="U65" s="2145"/>
      <c r="V65" s="2145"/>
      <c r="W65" s="2145"/>
      <c r="X65" s="2145"/>
      <c r="Y65" s="2145"/>
      <c r="Z65" s="2145"/>
      <c r="AA65" s="2145"/>
      <c r="AB65" s="2145"/>
      <c r="AC65" s="2145"/>
      <c r="AD65" s="2145"/>
      <c r="AE65" s="2145"/>
      <c r="AF65" s="2145"/>
      <c r="AG65" s="2145"/>
      <c r="AH65" s="2145"/>
      <c r="AI65" s="2145"/>
      <c r="AJ65" s="2145"/>
      <c r="AK65" s="2145"/>
      <c r="AL65" s="2145"/>
      <c r="AM65" s="2145"/>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hidden="1"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A1" s="1783"/>
      <c r="Y1" s="252"/>
      <c r="Z1" s="252"/>
      <c r="AG1" s="252"/>
      <c r="AH1" s="252"/>
    </row>
    <row r="2" spans="1:44" ht="21" hidden="1" customHeight="1">
      <c r="A2" s="1281"/>
      <c r="B2" s="1281"/>
      <c r="C2" s="1281"/>
      <c r="D2" s="1281"/>
      <c r="E2" s="2146">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40"/>
      <c r="W2" s="2141"/>
      <c r="X2" s="2141"/>
      <c r="Y2" s="2141"/>
      <c r="Z2" s="2141"/>
      <c r="AA2" s="2141"/>
      <c r="AB2" s="2141"/>
      <c r="AC2" s="2142"/>
      <c r="AD2" s="2140" t="e">
        <f>INDEX(PT_DIFFERENTIATION_NTAR,MATCH(A2,PT_DIFFERENTIATION_NTAR_ID,0))</f>
        <v>#N/A</v>
      </c>
      <c r="AE2" s="2141"/>
      <c r="AF2" s="2141"/>
      <c r="AG2" s="2141"/>
      <c r="AH2" s="2141"/>
      <c r="AI2" s="2141"/>
      <c r="AJ2" s="2141"/>
      <c r="AK2" s="2141"/>
      <c r="AL2" s="2142"/>
      <c r="AM2" s="1179" t="s">
        <v>366</v>
      </c>
      <c r="AO2" s="425"/>
      <c r="AP2" s="425" t="str">
        <f t="shared" ref="AP2:AP15" si="0">IF(T2="","",T2)</f>
        <v>Наименование тарифа</v>
      </c>
      <c r="AQ2" s="425"/>
      <c r="AR2" s="425"/>
    </row>
    <row r="3" spans="1:44" ht="21" hidden="1" customHeight="1">
      <c r="A3" s="1281"/>
      <c r="B3" s="1281"/>
      <c r="C3" s="1281"/>
      <c r="D3" s="1281"/>
      <c r="E3" s="2147"/>
      <c r="F3" s="2146">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40"/>
      <c r="W3" s="2141"/>
      <c r="X3" s="2141"/>
      <c r="Y3" s="2141"/>
      <c r="Z3" s="2141"/>
      <c r="AA3" s="2141"/>
      <c r="AB3" s="2141"/>
      <c r="AC3" s="2142"/>
      <c r="AD3" s="2140" t="e">
        <f>INDEX(PT_DIFFERENTIATION_TER,MATCH(B3,PT_DIFFERENTIATION_TER_ID,0))</f>
        <v>#N/A</v>
      </c>
      <c r="AE3" s="2141"/>
      <c r="AF3" s="2141"/>
      <c r="AG3" s="2141"/>
      <c r="AH3" s="2141"/>
      <c r="AI3" s="2141"/>
      <c r="AJ3" s="2141"/>
      <c r="AK3" s="2141"/>
      <c r="AL3" s="2142"/>
      <c r="AM3" s="1179" t="s">
        <v>368</v>
      </c>
      <c r="AO3" s="425"/>
      <c r="AP3" s="425" t="str">
        <f t="shared" si="0"/>
        <v>Территория действия тарифа</v>
      </c>
      <c r="AQ3" s="425"/>
      <c r="AR3" s="425"/>
    </row>
    <row r="4" spans="1:44" ht="23.25" hidden="1" customHeight="1">
      <c r="A4" s="1281"/>
      <c r="B4" s="1281"/>
      <c r="C4" s="1281"/>
      <c r="D4" s="1281"/>
      <c r="E4" s="2147"/>
      <c r="F4" s="2147"/>
      <c r="G4" s="2146">
        <v>1</v>
      </c>
      <c r="H4" s="1281"/>
      <c r="I4" s="1281"/>
      <c r="J4" s="1281"/>
      <c r="K4" s="1281"/>
      <c r="L4" s="1282"/>
      <c r="M4" s="1283"/>
      <c r="N4" s="1283"/>
      <c r="O4" s="1283"/>
      <c r="P4" s="278"/>
      <c r="Q4" s="276"/>
      <c r="R4" s="277"/>
      <c r="S4" s="1255" t="e">
        <f>INDEX(PT_DIFFERENTIATION_NUM_CS,MATCH(C4,PT_DIFFERENTIATION_CS_ID,0))</f>
        <v>#N/A</v>
      </c>
      <c r="T4" s="228" t="s">
        <v>369</v>
      </c>
      <c r="U4" s="217"/>
      <c r="V4" s="2140"/>
      <c r="W4" s="2141"/>
      <c r="X4" s="2141"/>
      <c r="Y4" s="2141"/>
      <c r="Z4" s="2141"/>
      <c r="AA4" s="2141"/>
      <c r="AB4" s="2141"/>
      <c r="AC4" s="2142"/>
      <c r="AD4" s="2140" t="e">
        <f>INDEX(PT_DIFFERENTIATION_CS,MATCH(C4,PT_DIFFERENTIATION_CS_ID,0))</f>
        <v>#N/A</v>
      </c>
      <c r="AE4" s="2141"/>
      <c r="AF4" s="2141"/>
      <c r="AG4" s="2141"/>
      <c r="AH4" s="2141"/>
      <c r="AI4" s="2141"/>
      <c r="AJ4" s="2141"/>
      <c r="AK4" s="2141"/>
      <c r="AL4" s="2142"/>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7"/>
      <c r="F5" s="2147"/>
      <c r="G5" s="2147"/>
      <c r="H5" s="2146">
        <v>1</v>
      </c>
      <c r="I5" s="1281"/>
      <c r="J5" s="1281"/>
      <c r="K5" s="1281"/>
      <c r="L5" s="1282"/>
      <c r="M5" s="1283"/>
      <c r="N5" s="1283"/>
      <c r="O5" s="1283"/>
      <c r="P5" s="278"/>
      <c r="Q5" s="276"/>
      <c r="R5" s="277"/>
      <c r="S5" s="1255" t="e">
        <f>INDEX(PT_DIFFERENTIATION_NUM_IST_TE,MATCH(D5,PT_DIFFERENTIATION_IST_TE_ID,0))</f>
        <v>#N/A</v>
      </c>
      <c r="T5" s="229" t="s">
        <v>371</v>
      </c>
      <c r="U5" s="217"/>
      <c r="V5" s="2140"/>
      <c r="W5" s="2141"/>
      <c r="X5" s="2141"/>
      <c r="Y5" s="2141"/>
      <c r="Z5" s="2141"/>
      <c r="AA5" s="2141"/>
      <c r="AB5" s="2141"/>
      <c r="AC5" s="2142"/>
      <c r="AD5" s="2140" t="e">
        <f>INDEX(PT_DIFFERENTIATION_IST_TE,MATCH(D5,PT_DIFFERENTIATION_IST_TE_ID,0))</f>
        <v>#N/A</v>
      </c>
      <c r="AE5" s="2141"/>
      <c r="AF5" s="2141"/>
      <c r="AG5" s="2141"/>
      <c r="AH5" s="2141"/>
      <c r="AI5" s="2141"/>
      <c r="AJ5" s="2141"/>
      <c r="AK5" s="2141"/>
      <c r="AL5" s="2142"/>
      <c r="AM5" s="1179" t="s">
        <v>372</v>
      </c>
      <c r="AO5" s="425"/>
      <c r="AP5" s="425" t="str">
        <f t="shared" si="0"/>
        <v xml:space="preserve">Источник тепловой энергии  </v>
      </c>
      <c r="AQ5" s="425"/>
      <c r="AR5" s="425"/>
    </row>
    <row r="6" spans="1:44" ht="14.25" hidden="1" customHeight="1">
      <c r="A6" s="1281"/>
      <c r="B6" s="1281"/>
      <c r="C6" s="1281"/>
      <c r="D6" s="1281"/>
      <c r="E6" s="2147"/>
      <c r="F6" s="2147"/>
      <c r="G6" s="2147"/>
      <c r="H6" s="2147"/>
      <c r="I6" s="2148" t="e">
        <f>S5&amp;".1"</f>
        <v>#N/A</v>
      </c>
      <c r="J6" s="1281"/>
      <c r="K6" s="1281"/>
      <c r="L6" s="1282" t="s">
        <v>373</v>
      </c>
      <c r="M6" s="461"/>
      <c r="P6" s="2150">
        <v>1</v>
      </c>
      <c r="Q6" s="1250"/>
      <c r="R6" s="280"/>
      <c r="S6" s="951"/>
      <c r="T6" s="1301"/>
      <c r="U6" s="1302"/>
      <c r="V6" s="2175"/>
      <c r="W6" s="2176"/>
      <c r="X6" s="2176"/>
      <c r="Y6" s="2176"/>
      <c r="Z6" s="2176"/>
      <c r="AA6" s="2176"/>
      <c r="AB6" s="2176"/>
      <c r="AC6" s="2177"/>
      <c r="AD6" s="2175"/>
      <c r="AE6" s="2176"/>
      <c r="AF6" s="2176"/>
      <c r="AG6" s="2176"/>
      <c r="AH6" s="2176"/>
      <c r="AI6" s="2176"/>
      <c r="AJ6" s="2176"/>
      <c r="AK6" s="2176"/>
      <c r="AL6" s="2177"/>
      <c r="AM6" s="1303"/>
      <c r="AO6" s="425"/>
      <c r="AP6" s="425" t="str">
        <f t="shared" si="0"/>
        <v/>
      </c>
      <c r="AQ6" s="425"/>
      <c r="AR6" s="425"/>
    </row>
    <row r="7" spans="1:44" ht="21" hidden="1" customHeight="1">
      <c r="A7" s="1281"/>
      <c r="B7" s="1281"/>
      <c r="C7" s="1281"/>
      <c r="D7" s="1281"/>
      <c r="E7" s="2147"/>
      <c r="F7" s="2147"/>
      <c r="G7" s="2147"/>
      <c r="H7" s="2147"/>
      <c r="I7" s="2149"/>
      <c r="J7" s="2148" t="e">
        <f>I6&amp;".1"</f>
        <v>#N/A</v>
      </c>
      <c r="K7" s="1281"/>
      <c r="L7" s="1282" t="s">
        <v>376</v>
      </c>
      <c r="M7" s="461"/>
      <c r="N7" s="1284"/>
      <c r="P7" s="2150"/>
      <c r="Q7" s="2150">
        <v>1</v>
      </c>
      <c r="R7" s="281"/>
      <c r="S7" s="1255" t="e">
        <f>$J7</f>
        <v>#N/A</v>
      </c>
      <c r="T7" s="203" t="s">
        <v>377</v>
      </c>
      <c r="U7" s="217"/>
      <c r="V7" s="2134"/>
      <c r="W7" s="2135"/>
      <c r="X7" s="2135"/>
      <c r="Y7" s="2135"/>
      <c r="Z7" s="2135"/>
      <c r="AA7" s="2135"/>
      <c r="AB7" s="2135"/>
      <c r="AC7" s="2136"/>
      <c r="AD7" s="2134"/>
      <c r="AE7" s="2135"/>
      <c r="AF7" s="2135"/>
      <c r="AG7" s="2135"/>
      <c r="AH7" s="2135"/>
      <c r="AI7" s="2135"/>
      <c r="AJ7" s="2135"/>
      <c r="AK7" s="2135"/>
      <c r="AL7" s="2136"/>
      <c r="AM7" s="1179" t="s">
        <v>378</v>
      </c>
      <c r="AO7" s="425"/>
      <c r="AP7" s="425" t="str">
        <f t="shared" si="0"/>
        <v>Группа потребителей</v>
      </c>
      <c r="AQ7" s="425"/>
      <c r="AR7" s="425"/>
    </row>
    <row r="8" spans="1:44" ht="21" hidden="1" customHeight="1">
      <c r="A8" s="1281"/>
      <c r="B8" s="1281"/>
      <c r="C8" s="1281"/>
      <c r="D8" s="1281"/>
      <c r="E8" s="2147"/>
      <c r="F8" s="2147"/>
      <c r="G8" s="2147"/>
      <c r="H8" s="2147"/>
      <c r="I8" s="2149"/>
      <c r="J8" s="2149"/>
      <c r="K8" s="2148" t="e">
        <f>J7&amp;".1"</f>
        <v>#N/A</v>
      </c>
      <c r="L8" s="1282" t="s">
        <v>379</v>
      </c>
      <c r="M8" s="461"/>
      <c r="N8" s="1284"/>
      <c r="O8" s="1284"/>
      <c r="P8" s="2150"/>
      <c r="Q8" s="2150"/>
      <c r="R8" s="281">
        <v>1</v>
      </c>
      <c r="S8" s="1255" t="e">
        <f>$K8</f>
        <v>#N/A</v>
      </c>
      <c r="T8" s="1266"/>
      <c r="U8" s="217"/>
      <c r="V8" s="668"/>
      <c r="W8" s="249"/>
      <c r="X8" s="668"/>
      <c r="Y8" s="1178"/>
      <c r="Z8" s="2151"/>
      <c r="AA8" s="2029" t="s">
        <v>50</v>
      </c>
      <c r="AB8" s="2151"/>
      <c r="AC8" s="2029" t="s">
        <v>50</v>
      </c>
      <c r="AD8" s="668"/>
      <c r="AE8" s="249"/>
      <c r="AF8" s="668"/>
      <c r="AG8" s="1178"/>
      <c r="AH8" s="2151"/>
      <c r="AI8" s="2029" t="s">
        <v>50</v>
      </c>
      <c r="AJ8" s="2151"/>
      <c r="AK8" s="2029" t="s">
        <v>50</v>
      </c>
      <c r="AL8" s="249"/>
      <c r="AM8" s="2169" t="s">
        <v>380</v>
      </c>
      <c r="AN8" s="436" t="e">
        <f ca="1">STRCHECKDATE(V9:AL9)</f>
        <v>#NAME?</v>
      </c>
      <c r="AO8" s="425"/>
      <c r="AP8" s="425" t="str">
        <f t="shared" si="0"/>
        <v/>
      </c>
      <c r="AQ8" s="425"/>
      <c r="AR8" s="425"/>
    </row>
    <row r="9" spans="1:44" ht="14.25" hidden="1" customHeight="1">
      <c r="A9" s="1281"/>
      <c r="B9" s="1281"/>
      <c r="C9" s="1281"/>
      <c r="D9" s="1281"/>
      <c r="E9" s="2147"/>
      <c r="F9" s="2147"/>
      <c r="G9" s="2147"/>
      <c r="H9" s="2147"/>
      <c r="I9" s="2149"/>
      <c r="J9" s="2149"/>
      <c r="K9" s="2148"/>
      <c r="L9" s="1282"/>
      <c r="M9" s="461"/>
      <c r="N9" s="1284"/>
      <c r="O9" s="1284"/>
      <c r="P9" s="2150"/>
      <c r="Q9" s="2150"/>
      <c r="R9" s="281"/>
      <c r="S9" s="1261"/>
      <c r="T9" s="217"/>
      <c r="U9" s="217"/>
      <c r="V9" s="249"/>
      <c r="W9" s="249"/>
      <c r="X9" s="249"/>
      <c r="Y9" s="253" t="str">
        <f>Z8&amp;"-"&amp;AB8</f>
        <v>-</v>
      </c>
      <c r="Z9" s="2152"/>
      <c r="AA9" s="2029"/>
      <c r="AB9" s="2152"/>
      <c r="AC9" s="2029"/>
      <c r="AD9" s="249"/>
      <c r="AE9" s="249"/>
      <c r="AF9" s="249"/>
      <c r="AG9" s="253" t="str">
        <f>AH8&amp;"-"&amp;AJ8</f>
        <v>-</v>
      </c>
      <c r="AH9" s="2152"/>
      <c r="AI9" s="2029"/>
      <c r="AJ9" s="2152"/>
      <c r="AK9" s="2029"/>
      <c r="AL9" s="249"/>
      <c r="AM9" s="2170"/>
      <c r="AO9" s="425"/>
      <c r="AP9" s="425" t="str">
        <f t="shared" si="0"/>
        <v/>
      </c>
      <c r="AQ9" s="425"/>
      <c r="AR9" s="425"/>
    </row>
    <row r="10" spans="1:44" ht="15" hidden="1" customHeight="1">
      <c r="A10" s="1281"/>
      <c r="B10" s="1281"/>
      <c r="C10" s="1281"/>
      <c r="D10" s="1281"/>
      <c r="E10" s="2147"/>
      <c r="F10" s="2147"/>
      <c r="G10" s="2147"/>
      <c r="H10" s="2147"/>
      <c r="I10" s="2149"/>
      <c r="J10" s="2148"/>
      <c r="K10" s="1281"/>
      <c r="L10" s="1282"/>
      <c r="M10" s="461"/>
      <c r="N10" s="1284"/>
      <c r="P10" s="2150"/>
      <c r="Q10" s="2150"/>
      <c r="R10" s="280"/>
      <c r="S10" s="1200"/>
      <c r="T10" s="204" t="s">
        <v>381</v>
      </c>
      <c r="U10" s="294"/>
      <c r="V10" s="294"/>
      <c r="W10" s="294"/>
      <c r="X10" s="294"/>
      <c r="Y10" s="294"/>
      <c r="Z10" s="294"/>
      <c r="AA10" s="294"/>
      <c r="AB10" s="294"/>
      <c r="AC10" s="294"/>
      <c r="AD10" s="294"/>
      <c r="AE10" s="294"/>
      <c r="AF10" s="294"/>
      <c r="AG10" s="294"/>
      <c r="AH10" s="294"/>
      <c r="AI10" s="294"/>
      <c r="AJ10" s="294"/>
      <c r="AK10" s="294"/>
      <c r="AL10" s="248"/>
      <c r="AM10" s="2171"/>
      <c r="AO10" s="425"/>
      <c r="AP10" s="425" t="str">
        <f t="shared" si="0"/>
        <v>Добавить вид теплоносителя (параметры теплоносителя)</v>
      </c>
      <c r="AQ10" s="425"/>
      <c r="AR10" s="425"/>
    </row>
    <row r="11" spans="1:44" ht="11.25" hidden="1" customHeight="1">
      <c r="A11" s="1281"/>
      <c r="B11" s="1281"/>
      <c r="C11" s="1281"/>
      <c r="D11" s="1281"/>
      <c r="E11" s="2147"/>
      <c r="F11" s="2147"/>
      <c r="G11" s="2147"/>
      <c r="H11" s="2147"/>
      <c r="I11" s="2148"/>
      <c r="J11" s="1281"/>
      <c r="K11" s="1281"/>
      <c r="L11" s="1282"/>
      <c r="M11" s="461"/>
      <c r="P11" s="2150"/>
      <c r="Q11" s="1250"/>
      <c r="R11" s="280"/>
      <c r="S11" s="1200"/>
      <c r="T11" s="291"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7"/>
      <c r="F12" s="2147"/>
      <c r="G12" s="2147"/>
      <c r="H12" s="2146"/>
      <c r="I12" s="1281"/>
      <c r="J12" s="1281"/>
      <c r="K12" s="1281"/>
      <c r="L12" s="1282"/>
      <c r="M12" s="1283"/>
      <c r="N12" s="1283"/>
      <c r="O12" s="461"/>
      <c r="P12" s="284"/>
      <c r="Q12" s="303"/>
      <c r="R12" s="279"/>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25"/>
      <c r="AP12" s="425" t="str">
        <f t="shared" si="0"/>
        <v/>
      </c>
      <c r="AQ12" s="425"/>
      <c r="AR12" s="425"/>
    </row>
    <row r="13" spans="1:44" s="1881" customFormat="1" ht="14.25" hidden="1" customHeight="1">
      <c r="A13" s="1234"/>
      <c r="B13" s="1234"/>
      <c r="C13" s="1234"/>
      <c r="D13" s="1234"/>
      <c r="E13" s="2147"/>
      <c r="F13" s="2147"/>
      <c r="G13" s="2146"/>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14.25" hidden="1" customHeight="1">
      <c r="A14" s="1234"/>
      <c r="B14" s="1234"/>
      <c r="C14" s="1234"/>
      <c r="D14" s="1234"/>
      <c r="E14" s="2147"/>
      <c r="F14" s="2146"/>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14.25" hidden="1" customHeight="1">
      <c r="A15" s="1234"/>
      <c r="B15" s="1234"/>
      <c r="C15" s="1234"/>
      <c r="D15" s="1234"/>
      <c r="E15" s="2146"/>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44"/>
      <c r="AI17" s="2143" t="s">
        <v>50</v>
      </c>
      <c r="AJ17" s="2144"/>
      <c r="AK17" s="2143" t="s">
        <v>50</v>
      </c>
    </row>
    <row r="18" spans="1:44" ht="14.25" hidden="1" customHeight="1">
      <c r="AD18" s="1278"/>
      <c r="AE18" s="1278"/>
      <c r="AF18" s="1278"/>
      <c r="AG18" s="253" t="str">
        <f>AH17&amp;"-"&amp;AJ17</f>
        <v>-</v>
      </c>
      <c r="AH18" s="2143"/>
      <c r="AI18" s="2143"/>
      <c r="AJ18" s="2143"/>
      <c r="AK18" s="214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51.75" customHeight="1">
      <c r="Q26" s="304"/>
      <c r="R26" s="304"/>
      <c r="S26" s="207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075"/>
      <c r="U26" s="2075"/>
      <c r="V26" s="2075"/>
      <c r="W26" s="2075"/>
      <c r="X26" s="2075"/>
      <c r="Y26" s="2075"/>
      <c r="Z26" s="2075"/>
      <c r="AA26" s="2075"/>
      <c r="AB26" s="2075"/>
      <c r="AC26" s="2075"/>
      <c r="AD26" s="2075"/>
      <c r="AE26" s="2075"/>
      <c r="AF26" s="2075"/>
      <c r="AG26" s="2075"/>
      <c r="AH26" s="2075"/>
      <c r="AI26" s="2075"/>
      <c r="AJ26" s="2075"/>
      <c r="AK26" s="1154"/>
    </row>
    <row r="27" spans="1:44" ht="14.25" customHeight="1">
      <c r="Q27" s="304"/>
      <c r="R27" s="304"/>
      <c r="S27" s="2098" t="str">
        <f>IF(org=0,"Не определено",org)</f>
        <v>ООО "Горводоканал"</v>
      </c>
      <c r="T27" s="2098"/>
      <c r="U27" s="2098"/>
      <c r="V27" s="2098"/>
      <c r="W27" s="2098"/>
      <c r="X27" s="2098"/>
      <c r="Y27" s="2098"/>
      <c r="Z27" s="2098"/>
      <c r="AA27" s="2098"/>
      <c r="AB27" s="2098"/>
      <c r="AC27" s="2098"/>
      <c r="AD27" s="2098"/>
      <c r="AE27" s="2098"/>
      <c r="AF27" s="2098"/>
      <c r="AG27" s="2098"/>
      <c r="AH27" s="2098"/>
      <c r="AI27" s="2098"/>
      <c r="AJ27" s="2098"/>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7" t="s">
        <v>37</v>
      </c>
      <c r="T29" s="2137"/>
      <c r="U29" s="1290"/>
      <c r="V29" s="2139" t="str">
        <f>IF(TITLE_NAME_OR_PR_CHANGE="",IF(TITLE_NAME_OR_PR="","",TITLE_NAME_OR_PR),TITLE_NAME_OR_PR_CHANGE)</f>
        <v/>
      </c>
      <c r="W29" s="2139"/>
      <c r="X29" s="2139"/>
      <c r="Y29" s="2139"/>
      <c r="Z29" s="2139"/>
      <c r="AA29" s="2139"/>
      <c r="AB29" s="2139"/>
      <c r="AC29" s="251"/>
      <c r="AD29" s="2139" t="str">
        <f>IF(TITLE_NAME_OR_PR_CHANGE="",IF(TITLE_NAME_OR_PR="","",TITLE_NAME_OR_PR),TITLE_NAME_OR_PR_CHANGE)</f>
        <v/>
      </c>
      <c r="AE29" s="2139"/>
      <c r="AF29" s="2139"/>
      <c r="AG29" s="2139"/>
      <c r="AH29" s="2139"/>
      <c r="AI29" s="2139"/>
      <c r="AJ29" s="2139"/>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7" t="s">
        <v>393</v>
      </c>
      <c r="T30" s="2137"/>
      <c r="U30" s="1290"/>
      <c r="V30" s="2138" t="str">
        <f>IF(TITLE_DATE_PR_CHANGE="",IF(TITLE_DATE_PR="","",TITLE_DATE_PR),TITLE_DATE_PR_CHANGE)</f>
        <v/>
      </c>
      <c r="W30" s="2138"/>
      <c r="X30" s="2138"/>
      <c r="Y30" s="2138"/>
      <c r="Z30" s="2138"/>
      <c r="AA30" s="2138"/>
      <c r="AB30" s="2138"/>
      <c r="AC30" s="251"/>
      <c r="AD30" s="2138" t="str">
        <f>IF(TITLE_DATE_PR_CHANGE="",IF(TITLE_DATE_PR="","",TITLE_DATE_PR),TITLE_DATE_PR_CHANGE)</f>
        <v/>
      </c>
      <c r="AE30" s="2138"/>
      <c r="AF30" s="2138"/>
      <c r="AG30" s="2138"/>
      <c r="AH30" s="2138"/>
      <c r="AI30" s="2138"/>
      <c r="AJ30" s="2138"/>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7" t="s">
        <v>394</v>
      </c>
      <c r="T31" s="2137"/>
      <c r="U31" s="1290"/>
      <c r="V31" s="2139" t="str">
        <f>IF(TITLE_NUMBER_PR_CHANGE="",IF(TITLE_NUMBER_PR="","",TITLE_NUMBER_PR),TITLE_NUMBER_PR_CHANGE)</f>
        <v/>
      </c>
      <c r="W31" s="2139"/>
      <c r="X31" s="2139"/>
      <c r="Y31" s="2139"/>
      <c r="Z31" s="2139"/>
      <c r="AA31" s="2139"/>
      <c r="AB31" s="2139"/>
      <c r="AC31" s="251"/>
      <c r="AD31" s="2139" t="str">
        <f>IF(TITLE_NUMBER_PR_CHANGE="",IF(TITLE_NUMBER_PR="","",TITLE_NUMBER_PR),TITLE_NUMBER_PR_CHANGE)</f>
        <v/>
      </c>
      <c r="AE31" s="2139"/>
      <c r="AF31" s="2139"/>
      <c r="AG31" s="2139"/>
      <c r="AH31" s="2139"/>
      <c r="AI31" s="2139"/>
      <c r="AJ31" s="2139"/>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7" t="s">
        <v>38</v>
      </c>
      <c r="T32" s="2137"/>
      <c r="U32" s="1290"/>
      <c r="V32" s="2139" t="str">
        <f>IF(TITLE_IST_PUB_CHANGE="",IF(TITLE_IST_PUB="","",TITLE_IST_PUB),TITLE_IST_PUB_CHANGE)</f>
        <v/>
      </c>
      <c r="W32" s="2139"/>
      <c r="X32" s="2139"/>
      <c r="Y32" s="2139"/>
      <c r="Z32" s="2139"/>
      <c r="AA32" s="2139"/>
      <c r="AB32" s="2139"/>
      <c r="AC32" s="251"/>
      <c r="AD32" s="2139" t="str">
        <f>IF(TITLE_IST_PUB_CHANGE="",IF(TITLE_IST_PUB="","",TITLE_IST_PUB),TITLE_IST_PUB_CHANGE)</f>
        <v/>
      </c>
      <c r="AE32" s="2139"/>
      <c r="AF32" s="2139"/>
      <c r="AG32" s="2139"/>
      <c r="AH32" s="2139"/>
      <c r="AI32" s="2139"/>
      <c r="AJ32" s="2139"/>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7" t="s">
        <v>395</v>
      </c>
      <c r="T34" s="2137"/>
      <c r="U34" s="1290"/>
      <c r="V34" s="2138" t="str">
        <f>IF(TITLE_DATE_PR_CHANGE="",IF(TITLE_DATE_PR="","",TITLE_DATE_PR),TITLE_DATE_PR_CHANGE)</f>
        <v/>
      </c>
      <c r="W34" s="2138"/>
      <c r="X34" s="2138"/>
      <c r="Y34" s="2138"/>
      <c r="Z34" s="2138"/>
      <c r="AA34" s="2138"/>
      <c r="AB34" s="2138"/>
      <c r="AC34" s="251"/>
      <c r="AD34" s="2138" t="str">
        <f>IF(TITLE_DATE_PR_CHANGE="",IF(TITLE_DATE_PR="","",TITLE_DATE_PR),TITLE_DATE_PR_CHANGE)</f>
        <v/>
      </c>
      <c r="AE34" s="2138"/>
      <c r="AF34" s="2138"/>
      <c r="AG34" s="2138"/>
      <c r="AH34" s="2138"/>
      <c r="AI34" s="2138"/>
      <c r="AJ34" s="2138"/>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7" t="s">
        <v>396</v>
      </c>
      <c r="T35" s="2137"/>
      <c r="U35" s="1290"/>
      <c r="V35" s="2139" t="str">
        <f>IF(TITLE_NUMBER_PR_CHANGE="",IF(TITLE_NUMBER_PR="","",TITLE_NUMBER_PR),TITLE_NUMBER_PR_CHANGE)</f>
        <v/>
      </c>
      <c r="W35" s="2139"/>
      <c r="X35" s="2139"/>
      <c r="Y35" s="2139"/>
      <c r="Z35" s="2139"/>
      <c r="AA35" s="2139"/>
      <c r="AB35" s="2139"/>
      <c r="AC35" s="251"/>
      <c r="AD35" s="2139" t="str">
        <f>IF(TITLE_NUMBER_PR_CHANGE="",IF(TITLE_NUMBER_PR="","",TITLE_NUMBER_PR),TITLE_NUMBER_PR_CHANGE)</f>
        <v/>
      </c>
      <c r="AE35" s="2139"/>
      <c r="AF35" s="2139"/>
      <c r="AG35" s="2139"/>
      <c r="AH35" s="2139"/>
      <c r="AI35" s="2139"/>
      <c r="AJ35" s="2139"/>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58"/>
      <c r="W37" s="2158"/>
      <c r="X37" s="2158"/>
      <c r="Y37" s="2158"/>
      <c r="Z37" s="2158"/>
      <c r="AA37" s="2158"/>
      <c r="AB37" s="2158"/>
      <c r="AC37" s="2158"/>
      <c r="AD37" s="2158"/>
      <c r="AE37" s="2158"/>
      <c r="AF37" s="2158"/>
      <c r="AG37" s="2158"/>
      <c r="AH37" s="2158"/>
      <c r="AI37" s="2158"/>
      <c r="AJ37" s="2158"/>
      <c r="AK37" s="2158"/>
    </row>
    <row r="38" spans="1:44" ht="14.25" customHeight="1">
      <c r="Q38" s="304"/>
      <c r="R38" s="304"/>
      <c r="S38" s="2019" t="s">
        <v>268</v>
      </c>
      <c r="T38" s="2019"/>
      <c r="U38" s="2019"/>
      <c r="V38" s="2019"/>
      <c r="W38" s="2019"/>
      <c r="X38" s="2019"/>
      <c r="Y38" s="2019"/>
      <c r="Z38" s="2019"/>
      <c r="AA38" s="2019"/>
      <c r="AB38" s="2019"/>
      <c r="AC38" s="2019"/>
      <c r="AD38" s="2019"/>
      <c r="AE38" s="2019"/>
      <c r="AF38" s="2019"/>
      <c r="AG38" s="2019"/>
      <c r="AH38" s="2019"/>
      <c r="AI38" s="2019"/>
      <c r="AJ38" s="2019"/>
      <c r="AK38" s="2019"/>
      <c r="AL38" s="2019"/>
      <c r="AM38" s="2019" t="s">
        <v>269</v>
      </c>
    </row>
    <row r="39" spans="1:44" ht="14.25" customHeight="1">
      <c r="Q39" s="304"/>
      <c r="R39" s="304"/>
      <c r="S39" s="2159" t="s">
        <v>73</v>
      </c>
      <c r="T39" s="2107" t="s">
        <v>398</v>
      </c>
      <c r="U39" s="218"/>
      <c r="V39" s="2160" t="s">
        <v>399</v>
      </c>
      <c r="W39" s="2161"/>
      <c r="X39" s="2161"/>
      <c r="Y39" s="2161"/>
      <c r="Z39" s="2161"/>
      <c r="AA39" s="2161"/>
      <c r="AB39" s="2162"/>
      <c r="AC39" s="2163" t="s">
        <v>400</v>
      </c>
      <c r="AD39" s="2160" t="s">
        <v>399</v>
      </c>
      <c r="AE39" s="2161"/>
      <c r="AF39" s="2161"/>
      <c r="AG39" s="2161"/>
      <c r="AH39" s="2161"/>
      <c r="AI39" s="2161"/>
      <c r="AJ39" s="2162"/>
      <c r="AK39" s="2163" t="s">
        <v>401</v>
      </c>
      <c r="AL39" s="2166" t="s">
        <v>402</v>
      </c>
      <c r="AM39" s="2019"/>
    </row>
    <row r="40" spans="1:44" ht="33.75" customHeight="1">
      <c r="Q40" s="304"/>
      <c r="R40" s="304"/>
      <c r="S40" s="2159"/>
      <c r="T40" s="2107"/>
      <c r="U40" s="940"/>
      <c r="V40" s="2076" t="s">
        <v>403</v>
      </c>
      <c r="W40" s="2155"/>
      <c r="X40" s="2001" t="s">
        <v>405</v>
      </c>
      <c r="Y40" s="2000"/>
      <c r="Z40" s="2001" t="s">
        <v>406</v>
      </c>
      <c r="AA40" s="2006"/>
      <c r="AB40" s="2000"/>
      <c r="AC40" s="2164"/>
      <c r="AD40" s="2076" t="s">
        <v>403</v>
      </c>
      <c r="AE40" s="2155"/>
      <c r="AF40" s="2001" t="s">
        <v>405</v>
      </c>
      <c r="AG40" s="2000"/>
      <c r="AH40" s="2001" t="s">
        <v>406</v>
      </c>
      <c r="AI40" s="2006"/>
      <c r="AJ40" s="2000"/>
      <c r="AK40" s="2164"/>
      <c r="AL40" s="2167"/>
      <c r="AM40" s="2019"/>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9"/>
      <c r="T41" s="2107"/>
      <c r="U41" s="219"/>
      <c r="V41" s="2132"/>
      <c r="W41" s="2156"/>
      <c r="X41" s="1130" t="s">
        <v>414</v>
      </c>
      <c r="Y41" s="1130" t="s">
        <v>415</v>
      </c>
      <c r="Z41" s="1257" t="s">
        <v>416</v>
      </c>
      <c r="AA41" s="2112" t="s">
        <v>417</v>
      </c>
      <c r="AB41" s="2126"/>
      <c r="AC41" s="2165"/>
      <c r="AD41" s="2132"/>
      <c r="AE41" s="2156"/>
      <c r="AF41" s="1130" t="s">
        <v>414</v>
      </c>
      <c r="AG41" s="1130" t="s">
        <v>415</v>
      </c>
      <c r="AH41" s="1257" t="s">
        <v>416</v>
      </c>
      <c r="AI41" s="2112" t="s">
        <v>417</v>
      </c>
      <c r="AJ41" s="2126"/>
      <c r="AK41" s="2165"/>
      <c r="AL41" s="2168"/>
      <c r="AM41" s="2019"/>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7">
        <f ca="1">OFFSET(AA42,0,-1)+1</f>
        <v>4</v>
      </c>
      <c r="AB42" s="2157"/>
      <c r="AC42" s="1254">
        <f ca="1">OFFSET(AC42,0,-2)+1</f>
        <v>5</v>
      </c>
      <c r="AD42" s="1254">
        <f ca="1">OFFSET(AD42,0,-1)+1</f>
        <v>6</v>
      </c>
      <c r="AE42" s="1254"/>
      <c r="AF42" s="1254">
        <f ca="1">OFFSET(AF42,0,-1)+1</f>
        <v>1</v>
      </c>
      <c r="AG42" s="1254">
        <f ca="1">OFFSET(AG42,0,-1)+1</f>
        <v>2</v>
      </c>
      <c r="AH42" s="1254">
        <f ca="1">OFFSET(AH42,0,-1)+1</f>
        <v>3</v>
      </c>
      <c r="AI42" s="2157">
        <f ca="1">OFFSET(AI42,0,-1)+1</f>
        <v>4</v>
      </c>
      <c r="AJ42" s="2157"/>
      <c r="AK42" s="1254">
        <f ca="1">OFFSET(AK42,0,-2)+1</f>
        <v>5</v>
      </c>
      <c r="AL42" s="1156">
        <f ca="1">OFFSET(AL42,0,-1)</f>
        <v>5</v>
      </c>
      <c r="AM42" s="1254">
        <f ca="1">OFFSET(AM42,0,-1)+1</f>
        <v>6</v>
      </c>
      <c r="AN42" s="436"/>
      <c r="AO42" s="436"/>
      <c r="AP42" s="436"/>
      <c r="AQ42" s="436"/>
      <c r="AR42" s="436"/>
    </row>
    <row r="43" spans="1:44" ht="21" customHeight="1">
      <c r="A43" s="1281" t="s">
        <v>162</v>
      </c>
      <c r="B43" s="1281"/>
      <c r="C43" s="1281"/>
      <c r="D43" s="1281"/>
      <c r="E43" s="2146">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40"/>
      <c r="W43" s="2141"/>
      <c r="X43" s="2141"/>
      <c r="Y43" s="2141"/>
      <c r="Z43" s="2141"/>
      <c r="AA43" s="2141"/>
      <c r="AB43" s="2141"/>
      <c r="AC43" s="2142"/>
      <c r="AD43" s="2140" t="str">
        <f>INDEX(PT_DIFFERENTIATION_NTAR,MATCH(A43,PT_DIFFERENTIATION_NTAR_ID,0))</f>
        <v/>
      </c>
      <c r="AE43" s="2141"/>
      <c r="AF43" s="2141"/>
      <c r="AG43" s="2141"/>
      <c r="AH43" s="2141"/>
      <c r="AI43" s="2141"/>
      <c r="AJ43" s="2141"/>
      <c r="AK43" s="2141"/>
      <c r="AL43" s="2142"/>
      <c r="AM43" s="11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162</v>
      </c>
      <c r="B44" s="1281" t="s">
        <v>163</v>
      </c>
      <c r="C44" s="1281"/>
      <c r="D44" s="1281"/>
      <c r="E44" s="2147"/>
      <c r="F44" s="2146">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40"/>
      <c r="W44" s="2141"/>
      <c r="X44" s="2141"/>
      <c r="Y44" s="2141"/>
      <c r="Z44" s="2141"/>
      <c r="AA44" s="2141"/>
      <c r="AB44" s="2141"/>
      <c r="AC44" s="2142"/>
      <c r="AD44" s="2140" t="str">
        <f>INDEX(PT_DIFFERENTIATION_TER,MATCH(B44,PT_DIFFERENTIATION_TER_ID,0))</f>
        <v/>
      </c>
      <c r="AE44" s="2141"/>
      <c r="AF44" s="2141"/>
      <c r="AG44" s="2141"/>
      <c r="AH44" s="2141"/>
      <c r="AI44" s="2141"/>
      <c r="AJ44" s="2141"/>
      <c r="AK44" s="2141"/>
      <c r="AL44" s="2142"/>
      <c r="AM44" s="1179" t="s">
        <v>368</v>
      </c>
      <c r="AO44" s="425"/>
      <c r="AP44" s="425" t="str">
        <f t="shared" si="1"/>
        <v>Территория действия тарифа</v>
      </c>
      <c r="AQ44" s="425"/>
      <c r="AR44" s="425"/>
    </row>
    <row r="45" spans="1:44" ht="23.25" customHeight="1">
      <c r="A45" s="1281" t="s">
        <v>162</v>
      </c>
      <c r="B45" s="1281" t="s">
        <v>163</v>
      </c>
      <c r="C45" s="1281" t="s">
        <v>164</v>
      </c>
      <c r="D45" s="1281"/>
      <c r="E45" s="2147"/>
      <c r="F45" s="2147"/>
      <c r="G45" s="2146">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40"/>
      <c r="W45" s="2141"/>
      <c r="X45" s="2141"/>
      <c r="Y45" s="2141"/>
      <c r="Z45" s="2141"/>
      <c r="AA45" s="2141"/>
      <c r="AB45" s="2141"/>
      <c r="AC45" s="2142"/>
      <c r="AD45" s="2140" t="str">
        <f>INDEX(PT_DIFFERENTIATION_CS,MATCH(C45,PT_DIFFERENTIATION_CS_ID,0))</f>
        <v/>
      </c>
      <c r="AE45" s="2141"/>
      <c r="AF45" s="2141"/>
      <c r="AG45" s="2141"/>
      <c r="AH45" s="2141"/>
      <c r="AI45" s="2141"/>
      <c r="AJ45" s="2141"/>
      <c r="AK45" s="2141"/>
      <c r="AL45" s="2142"/>
      <c r="AM45" s="1179" t="s">
        <v>370</v>
      </c>
      <c r="AO45" s="425"/>
      <c r="AP45" s="425" t="str">
        <f t="shared" si="1"/>
        <v xml:space="preserve">Наименование системы теплоснабжения </v>
      </c>
      <c r="AQ45" s="425"/>
      <c r="AR45" s="425"/>
    </row>
    <row r="46" spans="1:44" ht="21" customHeight="1">
      <c r="A46" s="1281" t="s">
        <v>162</v>
      </c>
      <c r="B46" s="1281" t="s">
        <v>163</v>
      </c>
      <c r="C46" s="1281" t="s">
        <v>164</v>
      </c>
      <c r="D46" s="1281" t="s">
        <v>165</v>
      </c>
      <c r="E46" s="2147"/>
      <c r="F46" s="2147"/>
      <c r="G46" s="2147"/>
      <c r="H46" s="2146">
        <v>1</v>
      </c>
      <c r="I46" s="1281"/>
      <c r="J46" s="1281"/>
      <c r="K46" s="1281"/>
      <c r="L46" s="1282"/>
      <c r="M46" s="1283"/>
      <c r="N46" s="1283"/>
      <c r="O46" s="1283"/>
      <c r="P46" s="278"/>
      <c r="Q46" s="276"/>
      <c r="R46" s="277"/>
      <c r="S46" s="1255" t="str">
        <f>INDEX(PT_DIFFERENTIATION_NUM_IST_TE,MATCH(D46,PT_DIFFERENTIATION_IST_TE_ID,0))</f>
        <v>...</v>
      </c>
      <c r="T46" s="229" t="s">
        <v>371</v>
      </c>
      <c r="U46" s="217"/>
      <c r="V46" s="2140"/>
      <c r="W46" s="2141"/>
      <c r="X46" s="2141"/>
      <c r="Y46" s="2141"/>
      <c r="Z46" s="2141"/>
      <c r="AA46" s="2141"/>
      <c r="AB46" s="2141"/>
      <c r="AC46" s="2142"/>
      <c r="AD46" s="2140" t="str">
        <f>INDEX(PT_DIFFERENTIATION_IST_TE,MATCH(D46,PT_DIFFERENTIATION_IST_TE_ID,0))</f>
        <v/>
      </c>
      <c r="AE46" s="2141"/>
      <c r="AF46" s="2141"/>
      <c r="AG46" s="2141"/>
      <c r="AH46" s="2141"/>
      <c r="AI46" s="2141"/>
      <c r="AJ46" s="2141"/>
      <c r="AK46" s="2141"/>
      <c r="AL46" s="2142"/>
      <c r="AM46" s="1179" t="s">
        <v>372</v>
      </c>
      <c r="AO46" s="425"/>
      <c r="AP46" s="425" t="str">
        <f t="shared" si="1"/>
        <v xml:space="preserve">Источник тепловой энергии  </v>
      </c>
      <c r="AQ46" s="425"/>
      <c r="AR46" s="425"/>
    </row>
    <row r="47" spans="1:44" s="1811" customFormat="1" ht="0" hidden="1" customHeight="1">
      <c r="A47" s="1262" t="s">
        <v>162</v>
      </c>
      <c r="B47" s="1262" t="s">
        <v>163</v>
      </c>
      <c r="C47" s="1262" t="s">
        <v>164</v>
      </c>
      <c r="D47" s="1262" t="s">
        <v>165</v>
      </c>
      <c r="E47" s="2147"/>
      <c r="F47" s="2147"/>
      <c r="G47" s="2147"/>
      <c r="H47" s="2147"/>
      <c r="I47" s="2148" t="str">
        <f>S46&amp;".1"</f>
        <v>....1</v>
      </c>
      <c r="J47" s="1262"/>
      <c r="K47" s="1262"/>
      <c r="L47" s="1265" t="s">
        <v>373</v>
      </c>
      <c r="M47" s="435"/>
      <c r="N47" s="435"/>
      <c r="O47" s="435"/>
      <c r="P47" s="2150">
        <v>1</v>
      </c>
      <c r="Q47" s="1250"/>
      <c r="R47" s="280"/>
      <c r="S47" s="951"/>
      <c r="T47" s="1301"/>
      <c r="U47" s="1302"/>
      <c r="V47" s="2175"/>
      <c r="W47" s="2176"/>
      <c r="X47" s="2176"/>
      <c r="Y47" s="2176"/>
      <c r="Z47" s="2176"/>
      <c r="AA47" s="2176"/>
      <c r="AB47" s="2176"/>
      <c r="AC47" s="2177"/>
      <c r="AD47" s="2175"/>
      <c r="AE47" s="2176"/>
      <c r="AF47" s="2176"/>
      <c r="AG47" s="2176"/>
      <c r="AH47" s="2176"/>
      <c r="AI47" s="2176"/>
      <c r="AJ47" s="2176"/>
      <c r="AK47" s="2176"/>
      <c r="AL47" s="2177"/>
      <c r="AM47" s="1303"/>
      <c r="AO47" s="425"/>
      <c r="AP47" s="425" t="str">
        <f t="shared" si="1"/>
        <v/>
      </c>
      <c r="AQ47" s="425"/>
      <c r="AR47" s="425"/>
    </row>
    <row r="48" spans="1:44" ht="21" customHeight="1">
      <c r="A48" s="1281" t="s">
        <v>162</v>
      </c>
      <c r="B48" s="1281" t="s">
        <v>163</v>
      </c>
      <c r="C48" s="1281" t="s">
        <v>164</v>
      </c>
      <c r="D48" s="1281" t="s">
        <v>165</v>
      </c>
      <c r="E48" s="2147"/>
      <c r="F48" s="2147"/>
      <c r="G48" s="2147"/>
      <c r="H48" s="2147"/>
      <c r="I48" s="2149"/>
      <c r="J48" s="2148" t="str">
        <f>S46&amp;".1"</f>
        <v>....1</v>
      </c>
      <c r="K48" s="1281"/>
      <c r="L48" s="1282" t="s">
        <v>376</v>
      </c>
      <c r="P48" s="2150"/>
      <c r="Q48" s="2150">
        <v>1</v>
      </c>
      <c r="R48" s="281"/>
      <c r="S48" s="1255" t="str">
        <f>$J48</f>
        <v>....1</v>
      </c>
      <c r="T48" s="203" t="s">
        <v>377</v>
      </c>
      <c r="U48" s="217"/>
      <c r="V48" s="2134"/>
      <c r="W48" s="2135"/>
      <c r="X48" s="2135"/>
      <c r="Y48" s="2135"/>
      <c r="Z48" s="2135"/>
      <c r="AA48" s="2135"/>
      <c r="AB48" s="2135"/>
      <c r="AC48" s="2136"/>
      <c r="AD48" s="2134"/>
      <c r="AE48" s="2135"/>
      <c r="AF48" s="2135"/>
      <c r="AG48" s="2135"/>
      <c r="AH48" s="2135"/>
      <c r="AI48" s="2135"/>
      <c r="AJ48" s="2135"/>
      <c r="AK48" s="2135"/>
      <c r="AL48" s="2136"/>
      <c r="AM48" s="1179" t="s">
        <v>378</v>
      </c>
      <c r="AO48" s="425"/>
      <c r="AP48" s="425" t="str">
        <f t="shared" si="1"/>
        <v>Группа потребителей</v>
      </c>
      <c r="AQ48" s="425"/>
      <c r="AR48" s="425"/>
    </row>
    <row r="49" spans="1:44" ht="21" customHeight="1">
      <c r="A49" s="1281" t="s">
        <v>162</v>
      </c>
      <c r="B49" s="1281" t="s">
        <v>163</v>
      </c>
      <c r="C49" s="1281" t="s">
        <v>164</v>
      </c>
      <c r="D49" s="1281" t="s">
        <v>165</v>
      </c>
      <c r="E49" s="2147"/>
      <c r="F49" s="2147"/>
      <c r="G49" s="2147"/>
      <c r="H49" s="2147"/>
      <c r="I49" s="2149"/>
      <c r="J49" s="2149"/>
      <c r="K49" s="2148" t="str">
        <f>J48&amp;".1"</f>
        <v>....1.1</v>
      </c>
      <c r="L49" s="1282" t="s">
        <v>379</v>
      </c>
      <c r="P49" s="2150"/>
      <c r="Q49" s="2150"/>
      <c r="R49" s="281">
        <v>1</v>
      </c>
      <c r="S49" s="1255" t="str">
        <f>$K49</f>
        <v>....1.1</v>
      </c>
      <c r="T49" s="1266"/>
      <c r="U49" s="217"/>
      <c r="V49" s="668"/>
      <c r="W49" s="249"/>
      <c r="X49" s="668"/>
      <c r="Y49" s="1178"/>
      <c r="Z49" s="2151"/>
      <c r="AA49" s="2029" t="s">
        <v>50</v>
      </c>
      <c r="AB49" s="2151"/>
      <c r="AC49" s="2029" t="s">
        <v>50</v>
      </c>
      <c r="AD49" s="668"/>
      <c r="AE49" s="249"/>
      <c r="AF49" s="668"/>
      <c r="AG49" s="1178"/>
      <c r="AH49" s="2151"/>
      <c r="AI49" s="2029" t="s">
        <v>50</v>
      </c>
      <c r="AJ49" s="2153"/>
      <c r="AK49" s="2029" t="s">
        <v>50</v>
      </c>
      <c r="AL49" s="1267"/>
      <c r="AM49" s="2169" t="s">
        <v>420</v>
      </c>
      <c r="AN49" s="436" t="e">
        <f ca="1">STRCHECKDATE(V50:AL50)</f>
        <v>#NAME?</v>
      </c>
      <c r="AO49" s="425"/>
      <c r="AP49" s="425" t="str">
        <f t="shared" si="1"/>
        <v/>
      </c>
      <c r="AQ49" s="425"/>
      <c r="AR49" s="425"/>
    </row>
    <row r="50" spans="1:44" ht="0.75" customHeight="1">
      <c r="A50" s="1281" t="s">
        <v>162</v>
      </c>
      <c r="B50" s="1281" t="s">
        <v>163</v>
      </c>
      <c r="C50" s="1281" t="s">
        <v>164</v>
      </c>
      <c r="D50" s="1281" t="s">
        <v>165</v>
      </c>
      <c r="E50" s="2147"/>
      <c r="F50" s="2147"/>
      <c r="G50" s="2147"/>
      <c r="H50" s="2147"/>
      <c r="I50" s="2149"/>
      <c r="J50" s="2149"/>
      <c r="K50" s="2148"/>
      <c r="L50" s="1282"/>
      <c r="P50" s="2150"/>
      <c r="Q50" s="2150"/>
      <c r="R50" s="281"/>
      <c r="S50" s="1261"/>
      <c r="T50" s="217"/>
      <c r="U50" s="217"/>
      <c r="V50" s="249"/>
      <c r="W50" s="249"/>
      <c r="X50" s="249"/>
      <c r="Y50" s="253" t="str">
        <f>Z49&amp;"-"&amp;AB49</f>
        <v>-</v>
      </c>
      <c r="Z50" s="2152"/>
      <c r="AA50" s="2029"/>
      <c r="AB50" s="2152"/>
      <c r="AC50" s="2029"/>
      <c r="AD50" s="249"/>
      <c r="AE50" s="249"/>
      <c r="AF50" s="249"/>
      <c r="AG50" s="253" t="str">
        <f>AH49&amp;"-"&amp;AJ49</f>
        <v>-</v>
      </c>
      <c r="AH50" s="2152"/>
      <c r="AI50" s="2029"/>
      <c r="AJ50" s="2154"/>
      <c r="AK50" s="2029"/>
      <c r="AL50" s="1268"/>
      <c r="AM50" s="2170"/>
      <c r="AO50" s="425"/>
      <c r="AP50" s="425" t="str">
        <f t="shared" si="1"/>
        <v/>
      </c>
      <c r="AQ50" s="425"/>
      <c r="AR50" s="425"/>
    </row>
    <row r="51" spans="1:44" ht="11.25" customHeight="1">
      <c r="A51" s="1281" t="s">
        <v>162</v>
      </c>
      <c r="B51" s="1281" t="s">
        <v>163</v>
      </c>
      <c r="C51" s="1281" t="s">
        <v>164</v>
      </c>
      <c r="D51" s="1281" t="s">
        <v>165</v>
      </c>
      <c r="E51" s="2147"/>
      <c r="F51" s="2147"/>
      <c r="G51" s="2147"/>
      <c r="H51" s="2147"/>
      <c r="I51" s="2149"/>
      <c r="J51" s="2148"/>
      <c r="K51" s="1281"/>
      <c r="L51" s="1282"/>
      <c r="P51" s="2150"/>
      <c r="Q51" s="2150"/>
      <c r="R51" s="280"/>
      <c r="S51" s="1200"/>
      <c r="T51" s="204" t="s">
        <v>381</v>
      </c>
      <c r="U51" s="294"/>
      <c r="V51" s="294"/>
      <c r="W51" s="294"/>
      <c r="X51" s="294"/>
      <c r="Y51" s="294"/>
      <c r="Z51" s="294"/>
      <c r="AA51" s="294"/>
      <c r="AB51" s="294"/>
      <c r="AC51" s="294"/>
      <c r="AD51" s="294"/>
      <c r="AE51" s="294"/>
      <c r="AF51" s="294"/>
      <c r="AG51" s="294"/>
      <c r="AH51" s="294"/>
      <c r="AI51" s="294"/>
      <c r="AJ51" s="294"/>
      <c r="AK51" s="294"/>
      <c r="AL51" s="248"/>
      <c r="AM51" s="2171"/>
      <c r="AO51" s="425"/>
      <c r="AP51" s="425" t="str">
        <f t="shared" si="1"/>
        <v>Добавить вид теплоносителя (параметры теплоносителя)</v>
      </c>
      <c r="AQ51" s="425"/>
      <c r="AR51" s="425"/>
    </row>
    <row r="52" spans="1:44" ht="11.25" customHeight="1">
      <c r="A52" s="1281" t="s">
        <v>162</v>
      </c>
      <c r="B52" s="1281" t="s">
        <v>163</v>
      </c>
      <c r="C52" s="1281" t="s">
        <v>164</v>
      </c>
      <c r="D52" s="1281" t="s">
        <v>165</v>
      </c>
      <c r="E52" s="2147"/>
      <c r="F52" s="2147"/>
      <c r="G52" s="2147"/>
      <c r="H52" s="2147"/>
      <c r="I52" s="2148"/>
      <c r="J52" s="1281"/>
      <c r="K52" s="1281"/>
      <c r="L52" s="1282"/>
      <c r="P52" s="2150"/>
      <c r="Q52" s="1250"/>
      <c r="R52" s="280"/>
      <c r="S52" s="1200"/>
      <c r="T52" s="291"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0" hidden="1" customHeight="1">
      <c r="A53" s="1281" t="s">
        <v>162</v>
      </c>
      <c r="B53" s="1281" t="s">
        <v>163</v>
      </c>
      <c r="C53" s="1281" t="s">
        <v>164</v>
      </c>
      <c r="D53" s="1281" t="s">
        <v>165</v>
      </c>
      <c r="E53" s="2147"/>
      <c r="F53" s="2147"/>
      <c r="G53" s="2147"/>
      <c r="H53" s="2146"/>
      <c r="I53" s="1281"/>
      <c r="J53" s="1281"/>
      <c r="K53" s="1281"/>
      <c r="L53" s="1282"/>
      <c r="M53" s="1283"/>
      <c r="N53" s="1283"/>
      <c r="O53" s="461"/>
      <c r="P53" s="284"/>
      <c r="Q53" s="303"/>
      <c r="R53" s="279"/>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25"/>
      <c r="AP53" s="425" t="str">
        <f t="shared" si="1"/>
        <v/>
      </c>
      <c r="AQ53" s="425"/>
      <c r="AR53" s="425"/>
    </row>
    <row r="54" spans="1:44" s="1881" customFormat="1" ht="0.75" customHeight="1">
      <c r="A54" s="1262" t="s">
        <v>162</v>
      </c>
      <c r="B54" s="1262" t="s">
        <v>163</v>
      </c>
      <c r="C54" s="1262" t="s">
        <v>164</v>
      </c>
      <c r="D54" s="1234"/>
      <c r="E54" s="2147"/>
      <c r="F54" s="2147"/>
      <c r="G54" s="2146"/>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162</v>
      </c>
      <c r="B55" s="1262" t="s">
        <v>163</v>
      </c>
      <c r="C55" s="1234"/>
      <c r="D55" s="1234"/>
      <c r="E55" s="2147"/>
      <c r="F55" s="2146"/>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162</v>
      </c>
      <c r="B56" s="1262"/>
      <c r="C56" s="1262"/>
      <c r="D56" s="1262"/>
      <c r="E56" s="2146"/>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1.75" customHeight="1">
      <c r="O59" s="461"/>
      <c r="S59" s="1166"/>
      <c r="T59" s="2145"/>
      <c r="U59" s="2145"/>
      <c r="V59" s="2145"/>
      <c r="W59" s="2145"/>
      <c r="X59" s="2145"/>
      <c r="Y59" s="2145"/>
      <c r="Z59" s="2145"/>
      <c r="AA59" s="2145"/>
      <c r="AB59" s="2145"/>
      <c r="AC59" s="2145"/>
      <c r="AD59" s="2145"/>
      <c r="AE59" s="2145"/>
      <c r="AF59" s="2145"/>
      <c r="AG59" s="2145"/>
      <c r="AH59" s="2145"/>
      <c r="AI59" s="2145"/>
      <c r="AJ59" s="2145"/>
      <c r="AK59" s="2145"/>
      <c r="AL59" s="2145"/>
      <c r="AM59" s="2145"/>
    </row>
    <row r="60" spans="1:44" ht="29.25" customHeight="1">
      <c r="O60" s="461"/>
      <c r="T60" s="2145"/>
      <c r="U60" s="2145"/>
      <c r="V60" s="2145"/>
      <c r="W60" s="2145"/>
      <c r="X60" s="2145"/>
      <c r="Y60" s="2145"/>
      <c r="Z60" s="2145"/>
      <c r="AA60" s="2145"/>
      <c r="AB60" s="2145"/>
      <c r="AC60" s="2145"/>
      <c r="AD60" s="2145"/>
      <c r="AE60" s="2145"/>
      <c r="AF60" s="2145"/>
      <c r="AG60" s="2145"/>
      <c r="AH60" s="2145"/>
      <c r="AI60" s="2145"/>
      <c r="AJ60" s="2145"/>
      <c r="AK60" s="2145"/>
      <c r="AL60" s="2145"/>
      <c r="AM60" s="2145"/>
    </row>
    <row r="61" spans="1:44" ht="39.75" customHeight="1">
      <c r="O61" s="461"/>
      <c r="T61" s="2145"/>
      <c r="U61" s="2145"/>
      <c r="V61" s="2145"/>
      <c r="W61" s="2145"/>
      <c r="X61" s="2145"/>
      <c r="Y61" s="2145"/>
      <c r="Z61" s="2145"/>
      <c r="AA61" s="2145"/>
      <c r="AB61" s="2145"/>
      <c r="AC61" s="2145"/>
      <c r="AD61" s="2145"/>
      <c r="AE61" s="2145"/>
      <c r="AF61" s="2145"/>
      <c r="AG61" s="2145"/>
      <c r="AH61" s="2145"/>
      <c r="AI61" s="2145"/>
      <c r="AJ61" s="2145"/>
      <c r="AK61" s="2145"/>
      <c r="AL61" s="2145"/>
      <c r="AM61" s="2145"/>
    </row>
    <row r="62" spans="1:44" ht="14.25" customHeight="1">
      <c r="O62" s="461"/>
    </row>
    <row r="63" spans="1:44" ht="19.5" customHeight="1">
      <c r="O63" s="461"/>
      <c r="S63" s="1166"/>
      <c r="T63" s="2059"/>
      <c r="U63" s="2145"/>
      <c r="V63" s="2145"/>
      <c r="W63" s="2145"/>
      <c r="X63" s="2145"/>
      <c r="Y63" s="2145"/>
      <c r="Z63" s="2145"/>
      <c r="AA63" s="2145"/>
      <c r="AB63" s="2145"/>
      <c r="AC63" s="2145"/>
      <c r="AD63" s="2145"/>
      <c r="AE63" s="2145"/>
      <c r="AF63" s="2145"/>
      <c r="AG63" s="2145"/>
      <c r="AH63" s="2145"/>
      <c r="AI63" s="2145"/>
      <c r="AJ63" s="2145"/>
      <c r="AK63" s="2145"/>
      <c r="AL63" s="2145"/>
      <c r="AM63" s="2145"/>
    </row>
    <row r="64" spans="1:44" ht="27.75" customHeight="1">
      <c r="O64" s="461"/>
      <c r="T64" s="2145"/>
      <c r="U64" s="2145"/>
      <c r="V64" s="2145"/>
      <c r="W64" s="2145"/>
      <c r="X64" s="2145"/>
      <c r="Y64" s="2145"/>
      <c r="Z64" s="2145"/>
      <c r="AA64" s="2145"/>
      <c r="AB64" s="2145"/>
      <c r="AC64" s="2145"/>
      <c r="AD64" s="2145"/>
      <c r="AE64" s="2145"/>
      <c r="AF64" s="2145"/>
      <c r="AG64" s="2145"/>
      <c r="AH64" s="2145"/>
      <c r="AI64" s="2145"/>
      <c r="AJ64" s="2145"/>
      <c r="AK64" s="2145"/>
      <c r="AL64" s="2145"/>
      <c r="AM64" s="2145"/>
    </row>
    <row r="65" spans="20:39" ht="33.75" customHeight="1">
      <c r="T65" s="2145"/>
      <c r="U65" s="2145"/>
      <c r="V65" s="2145"/>
      <c r="W65" s="2145"/>
      <c r="X65" s="2145"/>
      <c r="Y65" s="2145"/>
      <c r="Z65" s="2145"/>
      <c r="AA65" s="2145"/>
      <c r="AB65" s="2145"/>
      <c r="AC65" s="2145"/>
      <c r="AD65" s="2145"/>
      <c r="AE65" s="2145"/>
      <c r="AF65" s="2145"/>
      <c r="AG65" s="2145"/>
      <c r="AH65" s="2145"/>
      <c r="AI65" s="2145"/>
      <c r="AJ65" s="2145"/>
      <c r="AK65" s="2145"/>
      <c r="AL65" s="2145"/>
      <c r="AM65" s="2145"/>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hidden="1"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6">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40"/>
      <c r="W2" s="2141"/>
      <c r="X2" s="2141"/>
      <c r="Y2" s="2141"/>
      <c r="Z2" s="2141"/>
      <c r="AA2" s="2141"/>
      <c r="AB2" s="2141"/>
      <c r="AC2" s="2142"/>
      <c r="AD2" s="2140" t="e">
        <f>INDEX(PT_DIFFERENTIATION_NTAR,MATCH(A2,PT_DIFFERENTIATION_NTAR_ID,0))</f>
        <v>#N/A</v>
      </c>
      <c r="AE2" s="2141"/>
      <c r="AF2" s="2141"/>
      <c r="AG2" s="2141"/>
      <c r="AH2" s="2141"/>
      <c r="AI2" s="2141"/>
      <c r="AJ2" s="2141"/>
      <c r="AK2" s="2141"/>
      <c r="AL2" s="2142"/>
      <c r="AM2" s="1179" t="s">
        <v>366</v>
      </c>
      <c r="AO2" s="425"/>
      <c r="AP2" s="425" t="str">
        <f t="shared" ref="AP2:AP15" si="0">IF(T2="","",T2)</f>
        <v>Наименование тарифа</v>
      </c>
      <c r="AQ2" s="425"/>
      <c r="AR2" s="425"/>
    </row>
    <row r="3" spans="1:44" ht="21" hidden="1" customHeight="1">
      <c r="A3" s="1281"/>
      <c r="B3" s="1281"/>
      <c r="C3" s="1281"/>
      <c r="D3" s="1281"/>
      <c r="E3" s="2147"/>
      <c r="F3" s="2146">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40"/>
      <c r="W3" s="2141"/>
      <c r="X3" s="2141"/>
      <c r="Y3" s="2141"/>
      <c r="Z3" s="2141"/>
      <c r="AA3" s="2141"/>
      <c r="AB3" s="2141"/>
      <c r="AC3" s="2142"/>
      <c r="AD3" s="2140" t="e">
        <f>INDEX(PT_DIFFERENTIATION_TER,MATCH(B3,PT_DIFFERENTIATION_TER_ID,0))</f>
        <v>#N/A</v>
      </c>
      <c r="AE3" s="2141"/>
      <c r="AF3" s="2141"/>
      <c r="AG3" s="2141"/>
      <c r="AH3" s="2141"/>
      <c r="AI3" s="2141"/>
      <c r="AJ3" s="2141"/>
      <c r="AK3" s="2141"/>
      <c r="AL3" s="2142"/>
      <c r="AM3" s="1179" t="s">
        <v>368</v>
      </c>
      <c r="AO3" s="425"/>
      <c r="AP3" s="425" t="str">
        <f t="shared" si="0"/>
        <v>Территория действия тарифа</v>
      </c>
      <c r="AQ3" s="425"/>
      <c r="AR3" s="425"/>
    </row>
    <row r="4" spans="1:44" ht="23.25" hidden="1" customHeight="1">
      <c r="A4" s="1281"/>
      <c r="B4" s="1281"/>
      <c r="C4" s="1281"/>
      <c r="D4" s="1281"/>
      <c r="E4" s="2147"/>
      <c r="F4" s="2147"/>
      <c r="G4" s="2146">
        <v>1</v>
      </c>
      <c r="H4" s="1281"/>
      <c r="I4" s="1281"/>
      <c r="J4" s="1281"/>
      <c r="K4" s="1281"/>
      <c r="L4" s="1282"/>
      <c r="M4" s="1283"/>
      <c r="N4" s="1283"/>
      <c r="O4" s="1283"/>
      <c r="P4" s="278"/>
      <c r="Q4" s="276"/>
      <c r="R4" s="277"/>
      <c r="S4" s="1255" t="e">
        <f>INDEX(PT_DIFFERENTIATION_NUM_CS,MATCH(C4,PT_DIFFERENTIATION_CS_ID,0))</f>
        <v>#N/A</v>
      </c>
      <c r="T4" s="228" t="s">
        <v>369</v>
      </c>
      <c r="U4" s="217"/>
      <c r="V4" s="2140"/>
      <c r="W4" s="2141"/>
      <c r="X4" s="2141"/>
      <c r="Y4" s="2141"/>
      <c r="Z4" s="2141"/>
      <c r="AA4" s="2141"/>
      <c r="AB4" s="2141"/>
      <c r="AC4" s="2142"/>
      <c r="AD4" s="2140" t="e">
        <f>INDEX(PT_DIFFERENTIATION_CS,MATCH(C4,PT_DIFFERENTIATION_CS_ID,0))</f>
        <v>#N/A</v>
      </c>
      <c r="AE4" s="2141"/>
      <c r="AF4" s="2141"/>
      <c r="AG4" s="2141"/>
      <c r="AH4" s="2141"/>
      <c r="AI4" s="2141"/>
      <c r="AJ4" s="2141"/>
      <c r="AK4" s="2141"/>
      <c r="AL4" s="2142"/>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7"/>
      <c r="F5" s="2147"/>
      <c r="G5" s="2147"/>
      <c r="H5" s="2146">
        <v>1</v>
      </c>
      <c r="I5" s="1281"/>
      <c r="J5" s="1281"/>
      <c r="K5" s="1281"/>
      <c r="L5" s="1282"/>
      <c r="M5" s="1283"/>
      <c r="N5" s="1283"/>
      <c r="O5" s="1283"/>
      <c r="P5" s="278"/>
      <c r="Q5" s="276"/>
      <c r="R5" s="277"/>
      <c r="S5" s="1255" t="e">
        <f>INDEX(PT_DIFFERENTIATION_NUM_IST_TE,MATCH(D5,PT_DIFFERENTIATION_IST_TE_ID,0))</f>
        <v>#N/A</v>
      </c>
      <c r="T5" s="229" t="s">
        <v>371</v>
      </c>
      <c r="U5" s="217"/>
      <c r="V5" s="2140"/>
      <c r="W5" s="2141"/>
      <c r="X5" s="2141"/>
      <c r="Y5" s="2141"/>
      <c r="Z5" s="2141"/>
      <c r="AA5" s="2141"/>
      <c r="AB5" s="2141"/>
      <c r="AC5" s="2142"/>
      <c r="AD5" s="2140" t="e">
        <f>INDEX(PT_DIFFERENTIATION_IST_TE,MATCH(D5,PT_DIFFERENTIATION_IST_TE_ID,0))</f>
        <v>#N/A</v>
      </c>
      <c r="AE5" s="2141"/>
      <c r="AF5" s="2141"/>
      <c r="AG5" s="2141"/>
      <c r="AH5" s="2141"/>
      <c r="AI5" s="2141"/>
      <c r="AJ5" s="2141"/>
      <c r="AK5" s="2141"/>
      <c r="AL5" s="2142"/>
      <c r="AM5" s="1179" t="s">
        <v>372</v>
      </c>
      <c r="AO5" s="425"/>
      <c r="AP5" s="425" t="str">
        <f t="shared" si="0"/>
        <v xml:space="preserve">Источник тепловой энергии  </v>
      </c>
      <c r="AQ5" s="425"/>
      <c r="AR5" s="425"/>
    </row>
    <row r="6" spans="1:44" ht="14.25" hidden="1" customHeight="1">
      <c r="A6" s="1281"/>
      <c r="B6" s="1281"/>
      <c r="C6" s="1281"/>
      <c r="D6" s="1281"/>
      <c r="E6" s="2147"/>
      <c r="F6" s="2147"/>
      <c r="G6" s="2147"/>
      <c r="H6" s="2147"/>
      <c r="I6" s="2148" t="e">
        <f>S5&amp;".1"</f>
        <v>#N/A</v>
      </c>
      <c r="J6" s="1281"/>
      <c r="K6" s="1281"/>
      <c r="L6" s="1282" t="s">
        <v>373</v>
      </c>
      <c r="M6" s="461"/>
      <c r="P6" s="2150">
        <v>1</v>
      </c>
      <c r="Q6" s="1250"/>
      <c r="R6" s="280"/>
      <c r="S6" s="951"/>
      <c r="T6" s="1301"/>
      <c r="U6" s="1302"/>
      <c r="V6" s="2175"/>
      <c r="W6" s="2176"/>
      <c r="X6" s="2176"/>
      <c r="Y6" s="2176"/>
      <c r="Z6" s="2176"/>
      <c r="AA6" s="2176"/>
      <c r="AB6" s="2176"/>
      <c r="AC6" s="2177"/>
      <c r="AD6" s="2175"/>
      <c r="AE6" s="2176"/>
      <c r="AF6" s="2176"/>
      <c r="AG6" s="2176"/>
      <c r="AH6" s="2176"/>
      <c r="AI6" s="2176"/>
      <c r="AJ6" s="2176"/>
      <c r="AK6" s="2176"/>
      <c r="AL6" s="2177"/>
      <c r="AM6" s="1303"/>
      <c r="AO6" s="425"/>
      <c r="AP6" s="425" t="str">
        <f t="shared" si="0"/>
        <v/>
      </c>
      <c r="AQ6" s="425"/>
      <c r="AR6" s="425"/>
    </row>
    <row r="7" spans="1:44" ht="21" hidden="1" customHeight="1">
      <c r="A7" s="1281"/>
      <c r="B7" s="1281"/>
      <c r="C7" s="1281"/>
      <c r="D7" s="1281"/>
      <c r="E7" s="2147"/>
      <c r="F7" s="2147"/>
      <c r="G7" s="2147"/>
      <c r="H7" s="2147"/>
      <c r="I7" s="2149"/>
      <c r="J7" s="2148" t="e">
        <f>I6&amp;".1"</f>
        <v>#N/A</v>
      </c>
      <c r="K7" s="1281"/>
      <c r="L7" s="1282" t="s">
        <v>376</v>
      </c>
      <c r="M7" s="461"/>
      <c r="N7" s="1284"/>
      <c r="P7" s="2150"/>
      <c r="Q7" s="2150">
        <v>1</v>
      </c>
      <c r="R7" s="281"/>
      <c r="S7" s="1255" t="e">
        <f>$J7</f>
        <v>#N/A</v>
      </c>
      <c r="T7" s="203" t="s">
        <v>377</v>
      </c>
      <c r="U7" s="217"/>
      <c r="V7" s="2134"/>
      <c r="W7" s="2135"/>
      <c r="X7" s="2135"/>
      <c r="Y7" s="2135"/>
      <c r="Z7" s="2135"/>
      <c r="AA7" s="2135"/>
      <c r="AB7" s="2135"/>
      <c r="AC7" s="2136"/>
      <c r="AD7" s="2134"/>
      <c r="AE7" s="2135"/>
      <c r="AF7" s="2135"/>
      <c r="AG7" s="2135"/>
      <c r="AH7" s="2135"/>
      <c r="AI7" s="2135"/>
      <c r="AJ7" s="2135"/>
      <c r="AK7" s="2135"/>
      <c r="AL7" s="2136"/>
      <c r="AM7" s="1179" t="s">
        <v>378</v>
      </c>
      <c r="AO7" s="425"/>
      <c r="AP7" s="425" t="str">
        <f t="shared" si="0"/>
        <v>Группа потребителей</v>
      </c>
      <c r="AQ7" s="425"/>
      <c r="AR7" s="425"/>
    </row>
    <row r="8" spans="1:44" ht="21" hidden="1" customHeight="1">
      <c r="A8" s="1281"/>
      <c r="B8" s="1281"/>
      <c r="C8" s="1281"/>
      <c r="D8" s="1281"/>
      <c r="E8" s="2147"/>
      <c r="F8" s="2147"/>
      <c r="G8" s="2147"/>
      <c r="H8" s="2147"/>
      <c r="I8" s="2149"/>
      <c r="J8" s="2149"/>
      <c r="K8" s="2148" t="e">
        <f>J7&amp;".1"</f>
        <v>#N/A</v>
      </c>
      <c r="L8" s="1282" t="s">
        <v>379</v>
      </c>
      <c r="M8" s="461"/>
      <c r="N8" s="1284"/>
      <c r="O8" s="1284"/>
      <c r="P8" s="2150"/>
      <c r="Q8" s="2150"/>
      <c r="R8" s="281">
        <v>1</v>
      </c>
      <c r="S8" s="1255" t="e">
        <f>$K8</f>
        <v>#N/A</v>
      </c>
      <c r="T8" s="1266"/>
      <c r="U8" s="217"/>
      <c r="V8" s="668"/>
      <c r="W8" s="249"/>
      <c r="X8" s="668"/>
      <c r="Y8" s="1178"/>
      <c r="Z8" s="2151"/>
      <c r="AA8" s="2029" t="s">
        <v>50</v>
      </c>
      <c r="AB8" s="2151"/>
      <c r="AC8" s="2029" t="s">
        <v>50</v>
      </c>
      <c r="AD8" s="668"/>
      <c r="AE8" s="249"/>
      <c r="AF8" s="668"/>
      <c r="AG8" s="1178"/>
      <c r="AH8" s="2151"/>
      <c r="AI8" s="2029" t="s">
        <v>50</v>
      </c>
      <c r="AJ8" s="2151"/>
      <c r="AK8" s="2029" t="s">
        <v>50</v>
      </c>
      <c r="AL8" s="249"/>
      <c r="AM8" s="2169" t="s">
        <v>380</v>
      </c>
      <c r="AN8" s="436" t="e">
        <f ca="1">STRCHECKDATE(V9:AL9)</f>
        <v>#NAME?</v>
      </c>
      <c r="AO8" s="425"/>
      <c r="AP8" s="425" t="str">
        <f t="shared" si="0"/>
        <v/>
      </c>
      <c r="AQ8" s="425"/>
      <c r="AR8" s="425"/>
    </row>
    <row r="9" spans="1:44" ht="14.25" hidden="1" customHeight="1">
      <c r="A9" s="1281"/>
      <c r="B9" s="1281"/>
      <c r="C9" s="1281"/>
      <c r="D9" s="1281"/>
      <c r="E9" s="2147"/>
      <c r="F9" s="2147"/>
      <c r="G9" s="2147"/>
      <c r="H9" s="2147"/>
      <c r="I9" s="2149"/>
      <c r="J9" s="2149"/>
      <c r="K9" s="2148"/>
      <c r="L9" s="1282"/>
      <c r="M9" s="461"/>
      <c r="N9" s="1284"/>
      <c r="O9" s="1284"/>
      <c r="P9" s="2150"/>
      <c r="Q9" s="2150"/>
      <c r="R9" s="281"/>
      <c r="S9" s="1261"/>
      <c r="T9" s="217"/>
      <c r="U9" s="217"/>
      <c r="V9" s="249"/>
      <c r="W9" s="249"/>
      <c r="X9" s="249"/>
      <c r="Y9" s="253" t="str">
        <f>Z8&amp;"-"&amp;AB8</f>
        <v>-</v>
      </c>
      <c r="Z9" s="2152"/>
      <c r="AA9" s="2029"/>
      <c r="AB9" s="2152"/>
      <c r="AC9" s="2029"/>
      <c r="AD9" s="249"/>
      <c r="AE9" s="249"/>
      <c r="AF9" s="249"/>
      <c r="AG9" s="253" t="str">
        <f>AH8&amp;"-"&amp;AJ8</f>
        <v>-</v>
      </c>
      <c r="AH9" s="2152"/>
      <c r="AI9" s="2029"/>
      <c r="AJ9" s="2152"/>
      <c r="AK9" s="2029"/>
      <c r="AL9" s="249"/>
      <c r="AM9" s="2170"/>
      <c r="AO9" s="425"/>
      <c r="AP9" s="425" t="str">
        <f t="shared" si="0"/>
        <v/>
      </c>
      <c r="AQ9" s="425"/>
      <c r="AR9" s="425"/>
    </row>
    <row r="10" spans="1:44" ht="15" hidden="1" customHeight="1">
      <c r="A10" s="1281"/>
      <c r="B10" s="1281"/>
      <c r="C10" s="1281"/>
      <c r="D10" s="1281"/>
      <c r="E10" s="2147"/>
      <c r="F10" s="2147"/>
      <c r="G10" s="2147"/>
      <c r="H10" s="2147"/>
      <c r="I10" s="2149"/>
      <c r="J10" s="2148"/>
      <c r="K10" s="1281"/>
      <c r="L10" s="1282"/>
      <c r="M10" s="461"/>
      <c r="N10" s="1284"/>
      <c r="P10" s="2150"/>
      <c r="Q10" s="2150"/>
      <c r="R10" s="280"/>
      <c r="S10" s="1200"/>
      <c r="T10" s="204" t="s">
        <v>381</v>
      </c>
      <c r="U10" s="294"/>
      <c r="V10" s="294"/>
      <c r="W10" s="294"/>
      <c r="X10" s="294"/>
      <c r="Y10" s="294"/>
      <c r="Z10" s="294"/>
      <c r="AA10" s="294"/>
      <c r="AB10" s="294"/>
      <c r="AC10" s="294"/>
      <c r="AD10" s="294"/>
      <c r="AE10" s="294"/>
      <c r="AF10" s="294"/>
      <c r="AG10" s="294"/>
      <c r="AH10" s="294"/>
      <c r="AI10" s="294"/>
      <c r="AJ10" s="294"/>
      <c r="AK10" s="294"/>
      <c r="AL10" s="248"/>
      <c r="AM10" s="2171"/>
      <c r="AO10" s="425"/>
      <c r="AP10" s="425" t="str">
        <f t="shared" si="0"/>
        <v>Добавить вид теплоносителя (параметры теплоносителя)</v>
      </c>
      <c r="AQ10" s="425"/>
      <c r="AR10" s="425"/>
    </row>
    <row r="11" spans="1:44" ht="11.25" hidden="1" customHeight="1">
      <c r="A11" s="1281"/>
      <c r="B11" s="1281"/>
      <c r="C11" s="1281"/>
      <c r="D11" s="1281"/>
      <c r="E11" s="2147"/>
      <c r="F11" s="2147"/>
      <c r="G11" s="2147"/>
      <c r="H11" s="2147"/>
      <c r="I11" s="2148"/>
      <c r="J11" s="1281"/>
      <c r="K11" s="1281"/>
      <c r="L11" s="1282"/>
      <c r="M11" s="461"/>
      <c r="P11" s="2150"/>
      <c r="Q11" s="1250"/>
      <c r="R11" s="280"/>
      <c r="S11" s="1200"/>
      <c r="T11" s="291"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7"/>
      <c r="F12" s="2147"/>
      <c r="G12" s="2147"/>
      <c r="H12" s="2146"/>
      <c r="I12" s="1281"/>
      <c r="J12" s="1281"/>
      <c r="K12" s="1281"/>
      <c r="L12" s="1282"/>
      <c r="M12" s="1283"/>
      <c r="N12" s="1283"/>
      <c r="O12" s="461"/>
      <c r="P12" s="284"/>
      <c r="Q12" s="303"/>
      <c r="R12" s="279"/>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25"/>
      <c r="AP12" s="425" t="str">
        <f t="shared" si="0"/>
        <v/>
      </c>
      <c r="AQ12" s="425"/>
      <c r="AR12" s="425"/>
    </row>
    <row r="13" spans="1:44" s="1881" customFormat="1" ht="14.25" hidden="1" customHeight="1">
      <c r="A13" s="1234"/>
      <c r="B13" s="1234"/>
      <c r="C13" s="1234"/>
      <c r="D13" s="1234"/>
      <c r="E13" s="2147"/>
      <c r="F13" s="2147"/>
      <c r="G13" s="2146"/>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14.25" hidden="1" customHeight="1">
      <c r="A14" s="1234"/>
      <c r="B14" s="1234"/>
      <c r="C14" s="1234"/>
      <c r="D14" s="1234"/>
      <c r="E14" s="2147"/>
      <c r="F14" s="2146"/>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14.25" hidden="1" customHeight="1">
      <c r="A15" s="1234"/>
      <c r="B15" s="1234"/>
      <c r="C15" s="1234"/>
      <c r="D15" s="1234"/>
      <c r="E15" s="2146"/>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44"/>
      <c r="AI17" s="2143" t="s">
        <v>50</v>
      </c>
      <c r="AJ17" s="2144"/>
      <c r="AK17" s="2143" t="s">
        <v>50</v>
      </c>
    </row>
    <row r="18" spans="1:44" ht="14.25" hidden="1" customHeight="1">
      <c r="AD18" s="1278"/>
      <c r="AE18" s="1278"/>
      <c r="AF18" s="1278"/>
      <c r="AG18" s="253" t="str">
        <f>AH17&amp;"-"&amp;AJ17</f>
        <v>-</v>
      </c>
      <c r="AH18" s="2143"/>
      <c r="AI18" s="2143"/>
      <c r="AJ18" s="2143"/>
      <c r="AK18" s="214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51" customHeight="1">
      <c r="Q26" s="304"/>
      <c r="R26" s="304"/>
      <c r="S26" s="212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7"/>
      <c r="U26" s="2127"/>
      <c r="V26" s="2127"/>
      <c r="W26" s="2127"/>
      <c r="X26" s="2127"/>
      <c r="Y26" s="2127"/>
      <c r="Z26" s="2127"/>
      <c r="AA26" s="2127"/>
      <c r="AB26" s="2127"/>
      <c r="AC26" s="2127"/>
      <c r="AD26" s="2127"/>
      <c r="AE26" s="2127"/>
      <c r="AF26" s="2127"/>
      <c r="AG26" s="2127"/>
      <c r="AH26" s="2127"/>
      <c r="AI26" s="2127"/>
      <c r="AJ26" s="2127"/>
      <c r="AK26" s="1154"/>
    </row>
    <row r="27" spans="1:44" ht="14.25" customHeight="1">
      <c r="Q27" s="304"/>
      <c r="R27" s="304"/>
      <c r="S27" s="2098" t="str">
        <f>IF(org=0,"Не определено",org)</f>
        <v>ООО "Горводоканал"</v>
      </c>
      <c r="T27" s="2098"/>
      <c r="U27" s="2098"/>
      <c r="V27" s="2098"/>
      <c r="W27" s="2098"/>
      <c r="X27" s="2098"/>
      <c r="Y27" s="2098"/>
      <c r="Z27" s="2098"/>
      <c r="AA27" s="2098"/>
      <c r="AB27" s="2098"/>
      <c r="AC27" s="2098"/>
      <c r="AD27" s="2098"/>
      <c r="AE27" s="2098"/>
      <c r="AF27" s="2098"/>
      <c r="AG27" s="2098"/>
      <c r="AH27" s="2098"/>
      <c r="AI27" s="2098"/>
      <c r="AJ27" s="2098"/>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7" t="s">
        <v>37</v>
      </c>
      <c r="T29" s="2137"/>
      <c r="U29" s="1290"/>
      <c r="V29" s="2139" t="str">
        <f>IF(TITLE_NAME_OR_PR_CHANGE="",IF(TITLE_NAME_OR_PR="","",TITLE_NAME_OR_PR),TITLE_NAME_OR_PR_CHANGE)</f>
        <v/>
      </c>
      <c r="W29" s="2139"/>
      <c r="X29" s="2139"/>
      <c r="Y29" s="2139"/>
      <c r="Z29" s="2139"/>
      <c r="AA29" s="2139"/>
      <c r="AB29" s="2139"/>
      <c r="AC29" s="251"/>
      <c r="AD29" s="2139" t="str">
        <f>IF(TITLE_NAME_OR_PR_CHANGE="",IF(TITLE_NAME_OR_PR="","",TITLE_NAME_OR_PR),TITLE_NAME_OR_PR_CHANGE)</f>
        <v/>
      </c>
      <c r="AE29" s="2139"/>
      <c r="AF29" s="2139"/>
      <c r="AG29" s="2139"/>
      <c r="AH29" s="2139"/>
      <c r="AI29" s="2139"/>
      <c r="AJ29" s="2139"/>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7" t="s">
        <v>393</v>
      </c>
      <c r="T30" s="2137"/>
      <c r="U30" s="1290"/>
      <c r="V30" s="2138" t="str">
        <f>IF(TITLE_DATE_PR_CHANGE="",IF(TITLE_DATE_PR="","",TITLE_DATE_PR),TITLE_DATE_PR_CHANGE)</f>
        <v/>
      </c>
      <c r="W30" s="2138"/>
      <c r="X30" s="2138"/>
      <c r="Y30" s="2138"/>
      <c r="Z30" s="2138"/>
      <c r="AA30" s="2138"/>
      <c r="AB30" s="2138"/>
      <c r="AC30" s="251"/>
      <c r="AD30" s="2138" t="str">
        <f>IF(TITLE_DATE_PR_CHANGE="",IF(TITLE_DATE_PR="","",TITLE_DATE_PR),TITLE_DATE_PR_CHANGE)</f>
        <v/>
      </c>
      <c r="AE30" s="2138"/>
      <c r="AF30" s="2138"/>
      <c r="AG30" s="2138"/>
      <c r="AH30" s="2138"/>
      <c r="AI30" s="2138"/>
      <c r="AJ30" s="2138"/>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7" t="s">
        <v>394</v>
      </c>
      <c r="T31" s="2137"/>
      <c r="U31" s="1290"/>
      <c r="V31" s="2139" t="str">
        <f>IF(TITLE_NUMBER_PR_CHANGE="",IF(TITLE_NUMBER_PR="","",TITLE_NUMBER_PR),TITLE_NUMBER_PR_CHANGE)</f>
        <v/>
      </c>
      <c r="W31" s="2139"/>
      <c r="X31" s="2139"/>
      <c r="Y31" s="2139"/>
      <c r="Z31" s="2139"/>
      <c r="AA31" s="2139"/>
      <c r="AB31" s="2139"/>
      <c r="AC31" s="251"/>
      <c r="AD31" s="2139" t="str">
        <f>IF(TITLE_NUMBER_PR_CHANGE="",IF(TITLE_NUMBER_PR="","",TITLE_NUMBER_PR),TITLE_NUMBER_PR_CHANGE)</f>
        <v/>
      </c>
      <c r="AE31" s="2139"/>
      <c r="AF31" s="2139"/>
      <c r="AG31" s="2139"/>
      <c r="AH31" s="2139"/>
      <c r="AI31" s="2139"/>
      <c r="AJ31" s="2139"/>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7" t="s">
        <v>38</v>
      </c>
      <c r="T32" s="2137"/>
      <c r="U32" s="1290"/>
      <c r="V32" s="2139" t="str">
        <f>IF(TITLE_IST_PUB_CHANGE="",IF(TITLE_IST_PUB="","",TITLE_IST_PUB),TITLE_IST_PUB_CHANGE)</f>
        <v/>
      </c>
      <c r="W32" s="2139"/>
      <c r="X32" s="2139"/>
      <c r="Y32" s="2139"/>
      <c r="Z32" s="2139"/>
      <c r="AA32" s="2139"/>
      <c r="AB32" s="2139"/>
      <c r="AC32" s="251"/>
      <c r="AD32" s="2139" t="str">
        <f>IF(TITLE_IST_PUB_CHANGE="",IF(TITLE_IST_PUB="","",TITLE_IST_PUB),TITLE_IST_PUB_CHANGE)</f>
        <v/>
      </c>
      <c r="AE32" s="2139"/>
      <c r="AF32" s="2139"/>
      <c r="AG32" s="2139"/>
      <c r="AH32" s="2139"/>
      <c r="AI32" s="2139"/>
      <c r="AJ32" s="2139"/>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7" t="s">
        <v>395</v>
      </c>
      <c r="T34" s="2137"/>
      <c r="U34" s="1290"/>
      <c r="V34" s="2138" t="str">
        <f>IF(TITLE_DATE_PR_CHANGE="",IF(TITLE_DATE_PR="","",TITLE_DATE_PR),TITLE_DATE_PR_CHANGE)</f>
        <v/>
      </c>
      <c r="W34" s="2138"/>
      <c r="X34" s="2138"/>
      <c r="Y34" s="2138"/>
      <c r="Z34" s="2138"/>
      <c r="AA34" s="2138"/>
      <c r="AB34" s="2138"/>
      <c r="AC34" s="251"/>
      <c r="AD34" s="2138" t="str">
        <f>IF(TITLE_DATE_PR_CHANGE="",IF(TITLE_DATE_PR="","",TITLE_DATE_PR),TITLE_DATE_PR_CHANGE)</f>
        <v/>
      </c>
      <c r="AE34" s="2138"/>
      <c r="AF34" s="2138"/>
      <c r="AG34" s="2138"/>
      <c r="AH34" s="2138"/>
      <c r="AI34" s="2138"/>
      <c r="AJ34" s="2138"/>
      <c r="AK34" s="251"/>
      <c r="AL34" s="251"/>
      <c r="AM34" s="198"/>
      <c r="AN34" s="295"/>
      <c r="AO34" s="295"/>
      <c r="AP34" s="295"/>
      <c r="AQ34" s="295"/>
      <c r="AR34" s="295"/>
    </row>
    <row r="35" spans="1:44" s="1887" customFormat="1" ht="25.5" hidden="1" customHeight="1">
      <c r="A35" s="1286"/>
      <c r="B35" s="1286"/>
      <c r="C35" s="1286"/>
      <c r="D35" s="1286"/>
      <c r="E35" s="1286"/>
      <c r="F35" s="1286"/>
      <c r="G35" s="1286"/>
      <c r="H35" s="1286"/>
      <c r="I35" s="1286"/>
      <c r="J35" s="1286"/>
      <c r="K35" s="1286"/>
      <c r="L35" s="1287"/>
      <c r="M35" s="1286"/>
      <c r="N35" s="1286"/>
      <c r="O35" s="1286"/>
      <c r="S35" s="2137" t="s">
        <v>396</v>
      </c>
      <c r="T35" s="2137"/>
      <c r="U35" s="1290"/>
      <c r="V35" s="2139" t="str">
        <f>IF(TITLE_NUMBER_PR_CHANGE="",IF(TITLE_NUMBER_PR="","",TITLE_NUMBER_PR),TITLE_NUMBER_PR_CHANGE)</f>
        <v/>
      </c>
      <c r="W35" s="2139"/>
      <c r="X35" s="2139"/>
      <c r="Y35" s="2139"/>
      <c r="Z35" s="2139"/>
      <c r="AA35" s="2139"/>
      <c r="AB35" s="2139"/>
      <c r="AC35" s="251"/>
      <c r="AD35" s="2139" t="str">
        <f>IF(TITLE_NUMBER_PR_CHANGE="",IF(TITLE_NUMBER_PR="","",TITLE_NUMBER_PR),TITLE_NUMBER_PR_CHANGE)</f>
        <v/>
      </c>
      <c r="AE35" s="2139"/>
      <c r="AF35" s="2139"/>
      <c r="AG35" s="2139"/>
      <c r="AH35" s="2139"/>
      <c r="AI35" s="2139"/>
      <c r="AJ35" s="2139"/>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58"/>
      <c r="W37" s="2158"/>
      <c r="X37" s="2158"/>
      <c r="Y37" s="2158"/>
      <c r="Z37" s="2158"/>
      <c r="AA37" s="2158"/>
      <c r="AB37" s="2158"/>
      <c r="AC37" s="2158"/>
      <c r="AD37" s="2158"/>
      <c r="AE37" s="2158"/>
      <c r="AF37" s="2158"/>
      <c r="AG37" s="2158"/>
      <c r="AH37" s="2158"/>
      <c r="AI37" s="2158"/>
      <c r="AJ37" s="2158"/>
      <c r="AK37" s="2158"/>
    </row>
    <row r="38" spans="1:44" ht="14.25" customHeight="1">
      <c r="Q38" s="304"/>
      <c r="R38" s="304"/>
      <c r="S38" s="2019" t="s">
        <v>268</v>
      </c>
      <c r="T38" s="2019"/>
      <c r="U38" s="2019"/>
      <c r="V38" s="2019"/>
      <c r="W38" s="2019"/>
      <c r="X38" s="2019"/>
      <c r="Y38" s="2019"/>
      <c r="Z38" s="2019"/>
      <c r="AA38" s="2019"/>
      <c r="AB38" s="2019"/>
      <c r="AC38" s="2019"/>
      <c r="AD38" s="2019"/>
      <c r="AE38" s="2019"/>
      <c r="AF38" s="2019"/>
      <c r="AG38" s="2019"/>
      <c r="AH38" s="2019"/>
      <c r="AI38" s="2019"/>
      <c r="AJ38" s="2019"/>
      <c r="AK38" s="2019"/>
      <c r="AL38" s="2019"/>
      <c r="AM38" s="2019" t="s">
        <v>269</v>
      </c>
    </row>
    <row r="39" spans="1:44" ht="14.25" customHeight="1">
      <c r="Q39" s="304"/>
      <c r="R39" s="304"/>
      <c r="S39" s="2159" t="s">
        <v>73</v>
      </c>
      <c r="T39" s="2107" t="s">
        <v>398</v>
      </c>
      <c r="U39" s="218"/>
      <c r="V39" s="2160" t="s">
        <v>399</v>
      </c>
      <c r="W39" s="2161"/>
      <c r="X39" s="2161"/>
      <c r="Y39" s="2161"/>
      <c r="Z39" s="2161"/>
      <c r="AA39" s="2161"/>
      <c r="AB39" s="2162"/>
      <c r="AC39" s="2163" t="s">
        <v>400</v>
      </c>
      <c r="AD39" s="2160" t="s">
        <v>399</v>
      </c>
      <c r="AE39" s="2161"/>
      <c r="AF39" s="2161"/>
      <c r="AG39" s="2161"/>
      <c r="AH39" s="2161"/>
      <c r="AI39" s="2161"/>
      <c r="AJ39" s="2162"/>
      <c r="AK39" s="2163" t="s">
        <v>401</v>
      </c>
      <c r="AL39" s="2166" t="s">
        <v>402</v>
      </c>
      <c r="AM39" s="2019"/>
    </row>
    <row r="40" spans="1:44" ht="33.75" customHeight="1">
      <c r="Q40" s="304"/>
      <c r="R40" s="304"/>
      <c r="S40" s="2159"/>
      <c r="T40" s="2107"/>
      <c r="U40" s="940"/>
      <c r="V40" s="2076" t="s">
        <v>403</v>
      </c>
      <c r="W40" s="2155"/>
      <c r="X40" s="2001" t="s">
        <v>405</v>
      </c>
      <c r="Y40" s="2000"/>
      <c r="Z40" s="2001" t="s">
        <v>406</v>
      </c>
      <c r="AA40" s="2006"/>
      <c r="AB40" s="2000"/>
      <c r="AC40" s="2164"/>
      <c r="AD40" s="2076" t="s">
        <v>403</v>
      </c>
      <c r="AE40" s="2155"/>
      <c r="AF40" s="2001" t="s">
        <v>405</v>
      </c>
      <c r="AG40" s="2000"/>
      <c r="AH40" s="2001" t="s">
        <v>406</v>
      </c>
      <c r="AI40" s="2006"/>
      <c r="AJ40" s="2000"/>
      <c r="AK40" s="2164"/>
      <c r="AL40" s="2167"/>
      <c r="AM40" s="2019"/>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9"/>
      <c r="T41" s="2107"/>
      <c r="U41" s="219"/>
      <c r="V41" s="2132"/>
      <c r="W41" s="2156"/>
      <c r="X41" s="1130" t="s">
        <v>414</v>
      </c>
      <c r="Y41" s="1130" t="s">
        <v>415</v>
      </c>
      <c r="Z41" s="1257" t="s">
        <v>416</v>
      </c>
      <c r="AA41" s="2112" t="s">
        <v>417</v>
      </c>
      <c r="AB41" s="2126"/>
      <c r="AC41" s="2165"/>
      <c r="AD41" s="2132"/>
      <c r="AE41" s="2156"/>
      <c r="AF41" s="1130" t="s">
        <v>414</v>
      </c>
      <c r="AG41" s="1130" t="s">
        <v>415</v>
      </c>
      <c r="AH41" s="1257" t="s">
        <v>416</v>
      </c>
      <c r="AI41" s="2112" t="s">
        <v>417</v>
      </c>
      <c r="AJ41" s="2126"/>
      <c r="AK41" s="2165"/>
      <c r="AL41" s="2168"/>
      <c r="AM41" s="2019"/>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7">
        <f ca="1">OFFSET(AA42,0,-1)+1</f>
        <v>4</v>
      </c>
      <c r="AB42" s="2157"/>
      <c r="AC42" s="1254">
        <f ca="1">OFFSET(AC42,0,-2)+1</f>
        <v>5</v>
      </c>
      <c r="AD42" s="1254">
        <f ca="1">OFFSET(AD42,0,-1)+1</f>
        <v>6</v>
      </c>
      <c r="AE42" s="1254"/>
      <c r="AF42" s="1254">
        <f ca="1">OFFSET(AF42,0,-1)+1</f>
        <v>1</v>
      </c>
      <c r="AG42" s="1254">
        <f ca="1">OFFSET(AG42,0,-1)+1</f>
        <v>2</v>
      </c>
      <c r="AH42" s="1254">
        <f ca="1">OFFSET(AH42,0,-1)+1</f>
        <v>3</v>
      </c>
      <c r="AI42" s="2157">
        <f ca="1">OFFSET(AI42,0,-1)+1</f>
        <v>4</v>
      </c>
      <c r="AJ42" s="2157"/>
      <c r="AK42" s="1254">
        <f ca="1">OFFSET(AK42,0,-2)+1</f>
        <v>5</v>
      </c>
      <c r="AL42" s="1156">
        <f ca="1">OFFSET(AL42,0,-1)</f>
        <v>5</v>
      </c>
      <c r="AM42" s="1254">
        <f ca="1">OFFSET(AM42,0,-1)+1</f>
        <v>6</v>
      </c>
      <c r="AN42" s="436"/>
      <c r="AO42" s="436"/>
      <c r="AP42" s="436"/>
      <c r="AQ42" s="436"/>
      <c r="AR42" s="436"/>
    </row>
    <row r="43" spans="1:44" ht="21" customHeight="1">
      <c r="A43" s="1281" t="s">
        <v>168</v>
      </c>
      <c r="B43" s="1281"/>
      <c r="C43" s="1281"/>
      <c r="D43" s="1281"/>
      <c r="E43" s="2146">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40"/>
      <c r="W43" s="2141"/>
      <c r="X43" s="2141"/>
      <c r="Y43" s="2141"/>
      <c r="Z43" s="2141"/>
      <c r="AA43" s="2141"/>
      <c r="AB43" s="2141"/>
      <c r="AC43" s="2142"/>
      <c r="AD43" s="2140" t="str">
        <f>INDEX(PT_DIFFERENTIATION_NTAR,MATCH(A43,PT_DIFFERENTIATION_NTAR_ID,0))</f>
        <v/>
      </c>
      <c r="AE43" s="2141"/>
      <c r="AF43" s="2141"/>
      <c r="AG43" s="2141"/>
      <c r="AH43" s="2141"/>
      <c r="AI43" s="2141"/>
      <c r="AJ43" s="2141"/>
      <c r="AK43" s="2141"/>
      <c r="AL43" s="2142"/>
      <c r="AM43" s="11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168</v>
      </c>
      <c r="B44" s="1281" t="s">
        <v>169</v>
      </c>
      <c r="C44" s="1281"/>
      <c r="D44" s="1281"/>
      <c r="E44" s="2147"/>
      <c r="F44" s="2146">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40"/>
      <c r="W44" s="2141"/>
      <c r="X44" s="2141"/>
      <c r="Y44" s="2141"/>
      <c r="Z44" s="2141"/>
      <c r="AA44" s="2141"/>
      <c r="AB44" s="2141"/>
      <c r="AC44" s="2142"/>
      <c r="AD44" s="2140" t="str">
        <f>INDEX(PT_DIFFERENTIATION_TER,MATCH(B44,PT_DIFFERENTIATION_TER_ID,0))</f>
        <v/>
      </c>
      <c r="AE44" s="2141"/>
      <c r="AF44" s="2141"/>
      <c r="AG44" s="2141"/>
      <c r="AH44" s="2141"/>
      <c r="AI44" s="2141"/>
      <c r="AJ44" s="2141"/>
      <c r="AK44" s="2141"/>
      <c r="AL44" s="2142"/>
      <c r="AM44" s="1179" t="s">
        <v>368</v>
      </c>
      <c r="AO44" s="425"/>
      <c r="AP44" s="425" t="str">
        <f t="shared" si="1"/>
        <v>Территория действия тарифа</v>
      </c>
      <c r="AQ44" s="425"/>
      <c r="AR44" s="425"/>
    </row>
    <row r="45" spans="1:44" ht="23.25" customHeight="1">
      <c r="A45" s="1281" t="s">
        <v>168</v>
      </c>
      <c r="B45" s="1281" t="s">
        <v>169</v>
      </c>
      <c r="C45" s="1281" t="s">
        <v>170</v>
      </c>
      <c r="D45" s="1281"/>
      <c r="E45" s="2147"/>
      <c r="F45" s="2147"/>
      <c r="G45" s="2146">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40"/>
      <c r="W45" s="2141"/>
      <c r="X45" s="2141"/>
      <c r="Y45" s="2141"/>
      <c r="Z45" s="2141"/>
      <c r="AA45" s="2141"/>
      <c r="AB45" s="2141"/>
      <c r="AC45" s="2142"/>
      <c r="AD45" s="2140" t="str">
        <f>INDEX(PT_DIFFERENTIATION_CS,MATCH(C45,PT_DIFFERENTIATION_CS_ID,0))</f>
        <v/>
      </c>
      <c r="AE45" s="2141"/>
      <c r="AF45" s="2141"/>
      <c r="AG45" s="2141"/>
      <c r="AH45" s="2141"/>
      <c r="AI45" s="2141"/>
      <c r="AJ45" s="2141"/>
      <c r="AK45" s="2141"/>
      <c r="AL45" s="2142"/>
      <c r="AM45" s="1179" t="s">
        <v>370</v>
      </c>
      <c r="AO45" s="425"/>
      <c r="AP45" s="425" t="str">
        <f t="shared" si="1"/>
        <v xml:space="preserve">Наименование системы теплоснабжения </v>
      </c>
      <c r="AQ45" s="425"/>
      <c r="AR45" s="425"/>
    </row>
    <row r="46" spans="1:44" ht="21" customHeight="1">
      <c r="A46" s="1281" t="s">
        <v>168</v>
      </c>
      <c r="B46" s="1281" t="s">
        <v>169</v>
      </c>
      <c r="C46" s="1281" t="s">
        <v>170</v>
      </c>
      <c r="D46" s="1281" t="s">
        <v>171</v>
      </c>
      <c r="E46" s="2147"/>
      <c r="F46" s="2147"/>
      <c r="G46" s="2147"/>
      <c r="H46" s="2146">
        <v>1</v>
      </c>
      <c r="I46" s="1281"/>
      <c r="J46" s="1281"/>
      <c r="K46" s="1281"/>
      <c r="L46" s="1282"/>
      <c r="M46" s="1283"/>
      <c r="N46" s="1283"/>
      <c r="O46" s="1283"/>
      <c r="P46" s="278"/>
      <c r="Q46" s="276"/>
      <c r="R46" s="277"/>
      <c r="S46" s="1255" t="str">
        <f>INDEX(PT_DIFFERENTIATION_NUM_IST_TE,MATCH(D46,PT_DIFFERENTIATION_IST_TE_ID,0))</f>
        <v>...</v>
      </c>
      <c r="T46" s="229" t="s">
        <v>371</v>
      </c>
      <c r="U46" s="217"/>
      <c r="V46" s="2140"/>
      <c r="W46" s="2141"/>
      <c r="X46" s="2141"/>
      <c r="Y46" s="2141"/>
      <c r="Z46" s="2141"/>
      <c r="AA46" s="2141"/>
      <c r="AB46" s="2141"/>
      <c r="AC46" s="2142"/>
      <c r="AD46" s="2140" t="str">
        <f>INDEX(PT_DIFFERENTIATION_IST_TE,MATCH(D46,PT_DIFFERENTIATION_IST_TE_ID,0))</f>
        <v/>
      </c>
      <c r="AE46" s="2141"/>
      <c r="AF46" s="2141"/>
      <c r="AG46" s="2141"/>
      <c r="AH46" s="2141"/>
      <c r="AI46" s="2141"/>
      <c r="AJ46" s="2141"/>
      <c r="AK46" s="2141"/>
      <c r="AL46" s="2142"/>
      <c r="AM46" s="1179" t="s">
        <v>372</v>
      </c>
      <c r="AO46" s="425"/>
      <c r="AP46" s="425" t="str">
        <f t="shared" si="1"/>
        <v xml:space="preserve">Источник тепловой энергии  </v>
      </c>
      <c r="AQ46" s="425"/>
      <c r="AR46" s="425"/>
    </row>
    <row r="47" spans="1:44" s="1811" customFormat="1" ht="0" hidden="1" customHeight="1">
      <c r="A47" s="1262" t="s">
        <v>168</v>
      </c>
      <c r="B47" s="1262" t="s">
        <v>169</v>
      </c>
      <c r="C47" s="1262" t="s">
        <v>170</v>
      </c>
      <c r="D47" s="1262" t="s">
        <v>171</v>
      </c>
      <c r="E47" s="2147"/>
      <c r="F47" s="2147"/>
      <c r="G47" s="2147"/>
      <c r="H47" s="2147"/>
      <c r="I47" s="2148" t="str">
        <f>S46&amp;".1"</f>
        <v>....1</v>
      </c>
      <c r="J47" s="1262"/>
      <c r="K47" s="1262"/>
      <c r="L47" s="1265" t="s">
        <v>373</v>
      </c>
      <c r="M47" s="435"/>
      <c r="N47" s="435"/>
      <c r="O47" s="435"/>
      <c r="P47" s="2150">
        <v>1</v>
      </c>
      <c r="Q47" s="1250"/>
      <c r="R47" s="280"/>
      <c r="S47" s="951"/>
      <c r="T47" s="1301"/>
      <c r="U47" s="1302"/>
      <c r="V47" s="2175"/>
      <c r="W47" s="2176"/>
      <c r="X47" s="2176"/>
      <c r="Y47" s="2176"/>
      <c r="Z47" s="2176"/>
      <c r="AA47" s="2176"/>
      <c r="AB47" s="2176"/>
      <c r="AC47" s="2177"/>
      <c r="AD47" s="2175"/>
      <c r="AE47" s="2176"/>
      <c r="AF47" s="2176"/>
      <c r="AG47" s="2176"/>
      <c r="AH47" s="2176"/>
      <c r="AI47" s="2176"/>
      <c r="AJ47" s="2176"/>
      <c r="AK47" s="2176"/>
      <c r="AL47" s="2177"/>
      <c r="AM47" s="1303"/>
      <c r="AO47" s="425"/>
      <c r="AP47" s="425" t="str">
        <f t="shared" si="1"/>
        <v/>
      </c>
      <c r="AQ47" s="425"/>
      <c r="AR47" s="425"/>
    </row>
    <row r="48" spans="1:44" ht="21" customHeight="1">
      <c r="A48" s="1281" t="s">
        <v>168</v>
      </c>
      <c r="B48" s="1281" t="s">
        <v>169</v>
      </c>
      <c r="C48" s="1281" t="s">
        <v>170</v>
      </c>
      <c r="D48" s="1281" t="s">
        <v>171</v>
      </c>
      <c r="E48" s="2147"/>
      <c r="F48" s="2147"/>
      <c r="G48" s="2147"/>
      <c r="H48" s="2147"/>
      <c r="I48" s="2149"/>
      <c r="J48" s="2148" t="str">
        <f>S46&amp;".1"</f>
        <v>....1</v>
      </c>
      <c r="K48" s="1281"/>
      <c r="L48" s="1282" t="s">
        <v>376</v>
      </c>
      <c r="P48" s="2150"/>
      <c r="Q48" s="2150">
        <v>1</v>
      </c>
      <c r="R48" s="281"/>
      <c r="S48" s="1255" t="str">
        <f>$J48</f>
        <v>....1</v>
      </c>
      <c r="T48" s="203" t="s">
        <v>377</v>
      </c>
      <c r="U48" s="217"/>
      <c r="V48" s="2134"/>
      <c r="W48" s="2135"/>
      <c r="X48" s="2135"/>
      <c r="Y48" s="2135"/>
      <c r="Z48" s="2135"/>
      <c r="AA48" s="2135"/>
      <c r="AB48" s="2135"/>
      <c r="AC48" s="2136"/>
      <c r="AD48" s="2134"/>
      <c r="AE48" s="2135"/>
      <c r="AF48" s="2135"/>
      <c r="AG48" s="2135"/>
      <c r="AH48" s="2135"/>
      <c r="AI48" s="2135"/>
      <c r="AJ48" s="2135"/>
      <c r="AK48" s="2135"/>
      <c r="AL48" s="2136"/>
      <c r="AM48" s="1179" t="s">
        <v>378</v>
      </c>
      <c r="AO48" s="425"/>
      <c r="AP48" s="425" t="str">
        <f t="shared" si="1"/>
        <v>Группа потребителей</v>
      </c>
      <c r="AQ48" s="425"/>
      <c r="AR48" s="425"/>
    </row>
    <row r="49" spans="1:44" ht="21" customHeight="1">
      <c r="A49" s="1281" t="s">
        <v>168</v>
      </c>
      <c r="B49" s="1281" t="s">
        <v>169</v>
      </c>
      <c r="C49" s="1281" t="s">
        <v>170</v>
      </c>
      <c r="D49" s="1281" t="s">
        <v>171</v>
      </c>
      <c r="E49" s="2147"/>
      <c r="F49" s="2147"/>
      <c r="G49" s="2147"/>
      <c r="H49" s="2147"/>
      <c r="I49" s="2149"/>
      <c r="J49" s="2149"/>
      <c r="K49" s="2148" t="str">
        <f>J48&amp;".1"</f>
        <v>....1.1</v>
      </c>
      <c r="L49" s="1282" t="s">
        <v>379</v>
      </c>
      <c r="P49" s="2150"/>
      <c r="Q49" s="2150"/>
      <c r="R49" s="281">
        <v>1</v>
      </c>
      <c r="S49" s="1255" t="str">
        <f>$K49</f>
        <v>....1.1</v>
      </c>
      <c r="T49" s="1266"/>
      <c r="U49" s="217"/>
      <c r="V49" s="668"/>
      <c r="W49" s="249"/>
      <c r="X49" s="668"/>
      <c r="Y49" s="1178"/>
      <c r="Z49" s="2151"/>
      <c r="AA49" s="2029" t="s">
        <v>50</v>
      </c>
      <c r="AB49" s="2151"/>
      <c r="AC49" s="2029" t="s">
        <v>50</v>
      </c>
      <c r="AD49" s="668"/>
      <c r="AE49" s="249"/>
      <c r="AF49" s="668"/>
      <c r="AG49" s="1178"/>
      <c r="AH49" s="2151"/>
      <c r="AI49" s="2029" t="s">
        <v>50</v>
      </c>
      <c r="AJ49" s="2153"/>
      <c r="AK49" s="2029" t="s">
        <v>50</v>
      </c>
      <c r="AL49" s="1267"/>
      <c r="AM49" s="2169" t="s">
        <v>420</v>
      </c>
      <c r="AN49" s="436" t="e">
        <f ca="1">STRCHECKDATE(V50:AL50)</f>
        <v>#NAME?</v>
      </c>
      <c r="AO49" s="425"/>
      <c r="AP49" s="425" t="str">
        <f t="shared" si="1"/>
        <v/>
      </c>
      <c r="AQ49" s="425"/>
      <c r="AR49" s="425"/>
    </row>
    <row r="50" spans="1:44" ht="0" hidden="1" customHeight="1">
      <c r="A50" s="1281" t="s">
        <v>168</v>
      </c>
      <c r="B50" s="1281" t="s">
        <v>169</v>
      </c>
      <c r="C50" s="1281" t="s">
        <v>170</v>
      </c>
      <c r="D50" s="1281" t="s">
        <v>171</v>
      </c>
      <c r="E50" s="2147"/>
      <c r="F50" s="2147"/>
      <c r="G50" s="2147"/>
      <c r="H50" s="2147"/>
      <c r="I50" s="2149"/>
      <c r="J50" s="2149"/>
      <c r="K50" s="2148"/>
      <c r="L50" s="1282"/>
      <c r="P50" s="2150"/>
      <c r="Q50" s="2150"/>
      <c r="R50" s="281"/>
      <c r="S50" s="1261"/>
      <c r="T50" s="217"/>
      <c r="U50" s="217"/>
      <c r="V50" s="249"/>
      <c r="W50" s="249"/>
      <c r="X50" s="249"/>
      <c r="Y50" s="253" t="str">
        <f>Z49&amp;"-"&amp;AB49</f>
        <v>-</v>
      </c>
      <c r="Z50" s="2152"/>
      <c r="AA50" s="2029"/>
      <c r="AB50" s="2152"/>
      <c r="AC50" s="2029"/>
      <c r="AD50" s="249"/>
      <c r="AE50" s="249"/>
      <c r="AF50" s="249"/>
      <c r="AG50" s="253" t="str">
        <f>AH49&amp;"-"&amp;AJ49</f>
        <v>-</v>
      </c>
      <c r="AH50" s="2152"/>
      <c r="AI50" s="2029"/>
      <c r="AJ50" s="2154"/>
      <c r="AK50" s="2029"/>
      <c r="AL50" s="1268"/>
      <c r="AM50" s="2170"/>
      <c r="AO50" s="425"/>
      <c r="AP50" s="425" t="str">
        <f t="shared" si="1"/>
        <v/>
      </c>
      <c r="AQ50" s="425"/>
      <c r="AR50" s="425"/>
    </row>
    <row r="51" spans="1:44" ht="11.25" customHeight="1">
      <c r="A51" s="1281" t="s">
        <v>168</v>
      </c>
      <c r="B51" s="1281" t="s">
        <v>169</v>
      </c>
      <c r="C51" s="1281" t="s">
        <v>170</v>
      </c>
      <c r="D51" s="1281" t="s">
        <v>171</v>
      </c>
      <c r="E51" s="2147"/>
      <c r="F51" s="2147"/>
      <c r="G51" s="2147"/>
      <c r="H51" s="2147"/>
      <c r="I51" s="2149"/>
      <c r="J51" s="2148"/>
      <c r="K51" s="1281"/>
      <c r="L51" s="1282"/>
      <c r="P51" s="2150"/>
      <c r="Q51" s="2150"/>
      <c r="R51" s="280"/>
      <c r="S51" s="1200"/>
      <c r="T51" s="204" t="s">
        <v>381</v>
      </c>
      <c r="U51" s="294"/>
      <c r="V51" s="294"/>
      <c r="W51" s="294"/>
      <c r="X51" s="294"/>
      <c r="Y51" s="294"/>
      <c r="Z51" s="294"/>
      <c r="AA51" s="294"/>
      <c r="AB51" s="294"/>
      <c r="AC51" s="294"/>
      <c r="AD51" s="294"/>
      <c r="AE51" s="294"/>
      <c r="AF51" s="294"/>
      <c r="AG51" s="294"/>
      <c r="AH51" s="294"/>
      <c r="AI51" s="294"/>
      <c r="AJ51" s="294"/>
      <c r="AK51" s="294"/>
      <c r="AL51" s="248"/>
      <c r="AM51" s="2171"/>
      <c r="AO51" s="425"/>
      <c r="AP51" s="425" t="str">
        <f t="shared" si="1"/>
        <v>Добавить вид теплоносителя (параметры теплоносителя)</v>
      </c>
      <c r="AQ51" s="425"/>
      <c r="AR51" s="425"/>
    </row>
    <row r="52" spans="1:44" ht="11.25" customHeight="1">
      <c r="A52" s="1281" t="s">
        <v>168</v>
      </c>
      <c r="B52" s="1281" t="s">
        <v>169</v>
      </c>
      <c r="C52" s="1281" t="s">
        <v>170</v>
      </c>
      <c r="D52" s="1281" t="s">
        <v>171</v>
      </c>
      <c r="E52" s="2147"/>
      <c r="F52" s="2147"/>
      <c r="G52" s="2147"/>
      <c r="H52" s="2147"/>
      <c r="I52" s="2148"/>
      <c r="J52" s="1281"/>
      <c r="K52" s="1281"/>
      <c r="L52" s="1282"/>
      <c r="P52" s="2150"/>
      <c r="Q52" s="1250"/>
      <c r="R52" s="280"/>
      <c r="S52" s="1200"/>
      <c r="T52" s="291"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0" hidden="1" customHeight="1">
      <c r="A53" s="1281" t="s">
        <v>168</v>
      </c>
      <c r="B53" s="1281" t="s">
        <v>169</v>
      </c>
      <c r="C53" s="1281" t="s">
        <v>170</v>
      </c>
      <c r="D53" s="1281" t="s">
        <v>171</v>
      </c>
      <c r="E53" s="2147"/>
      <c r="F53" s="2147"/>
      <c r="G53" s="2147"/>
      <c r="H53" s="2146"/>
      <c r="I53" s="1281"/>
      <c r="J53" s="1281"/>
      <c r="K53" s="1281"/>
      <c r="L53" s="1282"/>
      <c r="M53" s="1283"/>
      <c r="N53" s="1283"/>
      <c r="O53" s="461"/>
      <c r="P53" s="284"/>
      <c r="Q53" s="303"/>
      <c r="R53" s="279"/>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25"/>
      <c r="AP53" s="425" t="str">
        <f t="shared" si="1"/>
        <v/>
      </c>
      <c r="AQ53" s="425"/>
      <c r="AR53" s="425"/>
    </row>
    <row r="54" spans="1:44" s="1881" customFormat="1" ht="0" hidden="1" customHeight="1">
      <c r="A54" s="1262" t="s">
        <v>168</v>
      </c>
      <c r="B54" s="1262" t="s">
        <v>169</v>
      </c>
      <c r="C54" s="1262" t="s">
        <v>170</v>
      </c>
      <c r="D54" s="1234"/>
      <c r="E54" s="2147"/>
      <c r="F54" s="2147"/>
      <c r="G54" s="2146"/>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 hidden="1" customHeight="1">
      <c r="A55" s="1262" t="s">
        <v>168</v>
      </c>
      <c r="B55" s="1262" t="s">
        <v>169</v>
      </c>
      <c r="C55" s="1234"/>
      <c r="D55" s="1234"/>
      <c r="E55" s="2147"/>
      <c r="F55" s="2146"/>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 hidden="1" customHeight="1">
      <c r="A56" s="1262" t="s">
        <v>168</v>
      </c>
      <c r="B56" s="1262"/>
      <c r="C56" s="1262"/>
      <c r="D56" s="1262"/>
      <c r="E56" s="2146"/>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5.2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14.25" customHeight="1">
      <c r="O59" s="461"/>
      <c r="S59" s="1166"/>
      <c r="T59" s="2145"/>
      <c r="U59" s="2145"/>
      <c r="V59" s="2145"/>
      <c r="W59" s="2145"/>
      <c r="X59" s="2145"/>
      <c r="Y59" s="2145"/>
      <c r="Z59" s="2145"/>
      <c r="AA59" s="2145"/>
      <c r="AB59" s="2145"/>
      <c r="AC59" s="2145"/>
      <c r="AD59" s="2145"/>
      <c r="AE59" s="2145"/>
      <c r="AF59" s="2145"/>
      <c r="AG59" s="2145"/>
      <c r="AH59" s="2145"/>
      <c r="AI59" s="2145"/>
      <c r="AJ59" s="2145"/>
      <c r="AK59" s="2145"/>
      <c r="AL59" s="2145"/>
      <c r="AM59" s="2145"/>
    </row>
    <row r="60" spans="1:44" ht="14.25" customHeight="1">
      <c r="O60" s="461"/>
      <c r="T60" s="2145"/>
      <c r="U60" s="2145"/>
      <c r="V60" s="2145"/>
      <c r="W60" s="2145"/>
      <c r="X60" s="2145"/>
      <c r="Y60" s="2145"/>
      <c r="Z60" s="2145"/>
      <c r="AA60" s="2145"/>
      <c r="AB60" s="2145"/>
      <c r="AC60" s="2145"/>
      <c r="AD60" s="2145"/>
      <c r="AE60" s="2145"/>
      <c r="AF60" s="2145"/>
      <c r="AG60" s="2145"/>
      <c r="AH60" s="2145"/>
      <c r="AI60" s="2145"/>
      <c r="AJ60" s="2145"/>
      <c r="AK60" s="2145"/>
      <c r="AL60" s="2145"/>
      <c r="AM60" s="2145"/>
    </row>
    <row r="61" spans="1:44" ht="14.25" customHeight="1">
      <c r="O61" s="461"/>
      <c r="T61" s="2145"/>
      <c r="U61" s="2145"/>
      <c r="V61" s="2145"/>
      <c r="W61" s="2145"/>
      <c r="X61" s="2145"/>
      <c r="Y61" s="2145"/>
      <c r="Z61" s="2145"/>
      <c r="AA61" s="2145"/>
      <c r="AB61" s="2145"/>
      <c r="AC61" s="2145"/>
      <c r="AD61" s="2145"/>
      <c r="AE61" s="2145"/>
      <c r="AF61" s="2145"/>
      <c r="AG61" s="2145"/>
      <c r="AH61" s="2145"/>
      <c r="AI61" s="2145"/>
      <c r="AJ61" s="2145"/>
      <c r="AK61" s="2145"/>
      <c r="AL61" s="2145"/>
      <c r="AM61" s="2145"/>
    </row>
    <row r="62" spans="1:44" ht="14.25" customHeight="1">
      <c r="O62" s="461"/>
    </row>
    <row r="63" spans="1:44" ht="14.25" customHeight="1">
      <c r="O63" s="461"/>
      <c r="S63" s="1166"/>
      <c r="T63" s="2059"/>
      <c r="U63" s="2145"/>
      <c r="V63" s="2145"/>
      <c r="W63" s="2145"/>
      <c r="X63" s="2145"/>
      <c r="Y63" s="2145"/>
      <c r="Z63" s="2145"/>
      <c r="AA63" s="2145"/>
      <c r="AB63" s="2145"/>
      <c r="AC63" s="2145"/>
      <c r="AD63" s="2145"/>
      <c r="AE63" s="2145"/>
      <c r="AF63" s="2145"/>
      <c r="AG63" s="2145"/>
      <c r="AH63" s="2145"/>
      <c r="AI63" s="2145"/>
      <c r="AJ63" s="2145"/>
      <c r="AK63" s="2145"/>
      <c r="AL63" s="2145"/>
      <c r="AM63" s="2145"/>
    </row>
    <row r="64" spans="1:44" ht="14.25" customHeight="1">
      <c r="O64" s="461"/>
      <c r="T64" s="2145"/>
      <c r="U64" s="2145"/>
      <c r="V64" s="2145"/>
      <c r="W64" s="2145"/>
      <c r="X64" s="2145"/>
      <c r="Y64" s="2145"/>
      <c r="Z64" s="2145"/>
      <c r="AA64" s="2145"/>
      <c r="AB64" s="2145"/>
      <c r="AC64" s="2145"/>
      <c r="AD64" s="2145"/>
      <c r="AE64" s="2145"/>
      <c r="AF64" s="2145"/>
      <c r="AG64" s="2145"/>
      <c r="AH64" s="2145"/>
      <c r="AI64" s="2145"/>
      <c r="AJ64" s="2145"/>
      <c r="AK64" s="2145"/>
      <c r="AL64" s="2145"/>
      <c r="AM64" s="2145"/>
    </row>
    <row r="65" spans="20:39" ht="14.25" customHeight="1">
      <c r="T65" s="2145"/>
      <c r="U65" s="2145"/>
      <c r="V65" s="2145"/>
      <c r="W65" s="2145"/>
      <c r="X65" s="2145"/>
      <c r="Y65" s="2145"/>
      <c r="Z65" s="2145"/>
      <c r="AA65" s="2145"/>
      <c r="AB65" s="2145"/>
      <c r="AC65" s="2145"/>
      <c r="AD65" s="2145"/>
      <c r="AE65" s="2145"/>
      <c r="AF65" s="2145"/>
      <c r="AG65" s="2145"/>
      <c r="AH65" s="2145"/>
      <c r="AI65" s="2145"/>
      <c r="AJ65" s="2145"/>
      <c r="AK65" s="2145"/>
      <c r="AL65" s="2145"/>
      <c r="AM65" s="2145"/>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V71"/>
  <sheetViews>
    <sheetView showGridLines="0" topLeftCell="R29" zoomScale="90" workbookViewId="0"/>
  </sheetViews>
  <sheetFormatPr defaultColWidth="10.5703125" defaultRowHeight="14.25" customHeight="1"/>
  <cols>
    <col min="1" max="1" width="10.5703125" style="1856" hidden="1"/>
    <col min="2" max="2" width="11" style="1856" hidden="1" customWidth="1"/>
    <col min="3" max="3" width="10.5703125" style="1856" hidden="1"/>
    <col min="4" max="4" width="11.85546875" style="1856" hidden="1" customWidth="1"/>
    <col min="5" max="5" width="10" style="1856" hidden="1" customWidth="1"/>
    <col min="6" max="6" width="8.7109375" style="1856" hidden="1" customWidth="1"/>
    <col min="7" max="7" width="7.5703125" style="1856" hidden="1" customWidth="1"/>
    <col min="8" max="8" width="11.42578125" style="1856" hidden="1" customWidth="1"/>
    <col min="9" max="9" width="12" style="1856" hidden="1" customWidth="1"/>
    <col min="10" max="10" width="9.85546875" style="1856" hidden="1" customWidth="1"/>
    <col min="11" max="12" width="11.42578125" style="1856" hidden="1" customWidth="1"/>
    <col min="13" max="13" width="19.140625" style="1894" hidden="1" customWidth="1"/>
    <col min="14" max="15" width="12.28515625" style="1888" hidden="1" customWidth="1"/>
    <col min="16" max="16" width="23.42578125" style="1888" hidden="1" customWidth="1"/>
    <col min="17" max="17" width="3.7109375" style="1888" hidden="1" customWidth="1"/>
    <col min="18" max="20" width="3.7109375" style="1890" customWidth="1"/>
    <col min="21" max="21" width="12.7109375" style="1891" customWidth="1"/>
    <col min="22" max="22" width="32" style="1856" customWidth="1"/>
    <col min="23" max="23" width="0.140625" style="1856" customWidth="1"/>
    <col min="24" max="28" width="21.7109375" style="1856" hidden="1" customWidth="1"/>
    <col min="29" max="29" width="11.7109375" style="1856" hidden="1" customWidth="1"/>
    <col min="30" max="30" width="3.7109375" style="1856" hidden="1" customWidth="1"/>
    <col min="31" max="31" width="11.7109375" style="1856" hidden="1" customWidth="1"/>
    <col min="32" max="32" width="8.5703125" style="1856" hidden="1" customWidth="1"/>
    <col min="33" max="37" width="21.7109375" style="1856" customWidth="1"/>
    <col min="38" max="38" width="11.7109375" style="1856" customWidth="1"/>
    <col min="39" max="39" width="3.7109375" style="1856" customWidth="1"/>
    <col min="40" max="40" width="11.7109375" style="1856" customWidth="1"/>
    <col min="41" max="41" width="8.5703125" style="1856" customWidth="1"/>
    <col min="42" max="42" width="4.7109375" style="1856" customWidth="1"/>
    <col min="43" max="43" width="115.7109375" style="1856" customWidth="1"/>
    <col min="44" max="45" width="10.5703125" style="1811"/>
    <col min="46" max="46" width="11.140625" style="1811" customWidth="1"/>
    <col min="47" max="48" width="10.5703125" style="1811"/>
  </cols>
  <sheetData>
    <row r="1" spans="1:48" ht="14.25" hidden="1" customHeight="1">
      <c r="AB1" s="252"/>
      <c r="AC1" s="252"/>
      <c r="AK1" s="252"/>
      <c r="AL1" s="252"/>
    </row>
    <row r="2" spans="1:48" ht="21" hidden="1" customHeight="1">
      <c r="A2" s="1188"/>
      <c r="B2" s="1188"/>
      <c r="C2" s="1188"/>
      <c r="D2" s="1188"/>
      <c r="E2" s="2181">
        <v>1</v>
      </c>
      <c r="F2" s="1188"/>
      <c r="G2" s="1188"/>
      <c r="H2" s="1188"/>
      <c r="I2" s="1188"/>
      <c r="J2" s="1188"/>
      <c r="K2" s="1188"/>
      <c r="L2" s="1188"/>
      <c r="M2" s="1230"/>
      <c r="N2" s="607"/>
      <c r="O2" s="607"/>
      <c r="P2" s="607"/>
      <c r="Q2" s="285"/>
      <c r="R2" s="284"/>
      <c r="S2" s="284"/>
      <c r="T2" s="279"/>
      <c r="U2" s="1255" t="e">
        <f>INDEX(PT_DIFFERENTIATION_NUM_NTAR,MATCH(A2,PT_DIFFERENTIATION_NTAR_ID,0))</f>
        <v>#N/A</v>
      </c>
      <c r="V2" s="215" t="s">
        <v>105</v>
      </c>
      <c r="W2" s="217"/>
      <c r="X2" s="2140"/>
      <c r="Y2" s="2141"/>
      <c r="Z2" s="2141"/>
      <c r="AA2" s="2141"/>
      <c r="AB2" s="2141"/>
      <c r="AC2" s="2141"/>
      <c r="AD2" s="2141"/>
      <c r="AE2" s="2141"/>
      <c r="AF2" s="2142"/>
      <c r="AG2" s="2140" t="e">
        <f>INDEX(PT_DIFFERENTIATION_NTAR,MATCH(A2,PT_DIFFERENTIATION_NTAR_ID,0))</f>
        <v>#N/A</v>
      </c>
      <c r="AH2" s="2141"/>
      <c r="AI2" s="2141"/>
      <c r="AJ2" s="2141"/>
      <c r="AK2" s="2141"/>
      <c r="AL2" s="2141"/>
      <c r="AM2" s="2141"/>
      <c r="AN2" s="2141"/>
      <c r="AO2" s="2141"/>
      <c r="AP2" s="2142"/>
      <c r="AQ2" s="1179" t="s">
        <v>366</v>
      </c>
      <c r="AS2" s="425"/>
      <c r="AT2" s="425" t="str">
        <f t="shared" ref="AT2:AT8" si="0">IF(V2="","",V2)</f>
        <v>Наименование тарифа</v>
      </c>
      <c r="AU2" s="425"/>
      <c r="AV2" s="425"/>
    </row>
    <row r="3" spans="1:48" ht="21" hidden="1" customHeight="1">
      <c r="A3" s="1188"/>
      <c r="B3" s="1188"/>
      <c r="C3" s="1188"/>
      <c r="D3" s="1188"/>
      <c r="E3" s="2182"/>
      <c r="F3" s="2181">
        <v>1</v>
      </c>
      <c r="G3" s="1188"/>
      <c r="H3" s="1188"/>
      <c r="I3" s="1188"/>
      <c r="J3" s="1188"/>
      <c r="K3" s="1188"/>
      <c r="L3" s="1188"/>
      <c r="M3" s="1230"/>
      <c r="N3" s="607"/>
      <c r="O3" s="607"/>
      <c r="P3" s="607"/>
      <c r="Q3" s="1251"/>
      <c r="R3" s="276"/>
      <c r="S3" s="434"/>
      <c r="T3" s="277"/>
      <c r="U3" s="1255" t="e">
        <f>INDEX(PT_DIFFERENTIATION_NUM_TER,MATCH(B3,PT_DIFFERENTIATION_TER_ID,0))</f>
        <v>#N/A</v>
      </c>
      <c r="V3" s="227" t="s">
        <v>367</v>
      </c>
      <c r="W3" s="217"/>
      <c r="X3" s="2140"/>
      <c r="Y3" s="2141"/>
      <c r="Z3" s="2141"/>
      <c r="AA3" s="2141"/>
      <c r="AB3" s="2141"/>
      <c r="AC3" s="2141"/>
      <c r="AD3" s="2141"/>
      <c r="AE3" s="2141"/>
      <c r="AF3" s="2142"/>
      <c r="AG3" s="2140" t="e">
        <f>INDEX(PT_DIFFERENTIATION_TER,MATCH(B3,PT_DIFFERENTIATION_TER_ID,0))</f>
        <v>#N/A</v>
      </c>
      <c r="AH3" s="2141"/>
      <c r="AI3" s="2141"/>
      <c r="AJ3" s="2141"/>
      <c r="AK3" s="2141"/>
      <c r="AL3" s="2141"/>
      <c r="AM3" s="2141"/>
      <c r="AN3" s="2141"/>
      <c r="AO3" s="2141"/>
      <c r="AP3" s="2142"/>
      <c r="AQ3" s="1179" t="s">
        <v>368</v>
      </c>
      <c r="AS3" s="425"/>
      <c r="AT3" s="425" t="str">
        <f t="shared" si="0"/>
        <v>Территория действия тарифа</v>
      </c>
      <c r="AU3" s="425"/>
      <c r="AV3" s="425"/>
    </row>
    <row r="4" spans="1:48" ht="22.5" hidden="1" customHeight="1">
      <c r="A4" s="1188"/>
      <c r="B4" s="1188"/>
      <c r="C4" s="1188"/>
      <c r="D4" s="1188"/>
      <c r="E4" s="2182"/>
      <c r="F4" s="2182"/>
      <c r="G4" s="2181">
        <v>1</v>
      </c>
      <c r="H4" s="1188"/>
      <c r="I4" s="1188"/>
      <c r="J4" s="1188"/>
      <c r="K4" s="1188"/>
      <c r="L4" s="1188"/>
      <c r="M4" s="1230"/>
      <c r="N4" s="607"/>
      <c r="O4" s="607"/>
      <c r="P4" s="607"/>
      <c r="Q4" s="278"/>
      <c r="R4" s="276"/>
      <c r="S4" s="434"/>
      <c r="T4" s="277"/>
      <c r="U4" s="1255" t="e">
        <f>INDEX(PT_DIFFERENTIATION_NUM_CS,MATCH(C4,PT_DIFFERENTIATION_CS_ID,0))</f>
        <v>#N/A</v>
      </c>
      <c r="V4" s="228" t="s">
        <v>369</v>
      </c>
      <c r="W4" s="217"/>
      <c r="X4" s="2140"/>
      <c r="Y4" s="2141"/>
      <c r="Z4" s="2141"/>
      <c r="AA4" s="2141"/>
      <c r="AB4" s="2141"/>
      <c r="AC4" s="2141"/>
      <c r="AD4" s="2141"/>
      <c r="AE4" s="2141"/>
      <c r="AF4" s="2142"/>
      <c r="AG4" s="2140" t="e">
        <f>INDEX(PT_DIFFERENTIATION_CS,MATCH(C4,PT_DIFFERENTIATION_CS_ID,0))</f>
        <v>#N/A</v>
      </c>
      <c r="AH4" s="2141"/>
      <c r="AI4" s="2141"/>
      <c r="AJ4" s="2141"/>
      <c r="AK4" s="2141"/>
      <c r="AL4" s="2141"/>
      <c r="AM4" s="2141"/>
      <c r="AN4" s="2141"/>
      <c r="AO4" s="2141"/>
      <c r="AP4" s="2142"/>
      <c r="AQ4" s="1179" t="s">
        <v>370</v>
      </c>
      <c r="AS4" s="425"/>
      <c r="AT4" s="425" t="str">
        <f t="shared" si="0"/>
        <v xml:space="preserve">Наименование системы теплоснабжения </v>
      </c>
      <c r="AU4" s="425"/>
      <c r="AV4" s="425"/>
    </row>
    <row r="5" spans="1:48" ht="21" hidden="1" customHeight="1">
      <c r="A5" s="1188"/>
      <c r="B5" s="1188"/>
      <c r="C5" s="1188"/>
      <c r="D5" s="1188"/>
      <c r="E5" s="2182"/>
      <c r="F5" s="2182"/>
      <c r="G5" s="2182"/>
      <c r="H5" s="2181">
        <v>1</v>
      </c>
      <c r="I5" s="1188"/>
      <c r="J5" s="1188"/>
      <c r="K5" s="1188"/>
      <c r="L5" s="1188"/>
      <c r="M5" s="1230"/>
      <c r="N5" s="607"/>
      <c r="O5" s="607"/>
      <c r="P5" s="607"/>
      <c r="Q5" s="278"/>
      <c r="R5" s="276"/>
      <c r="S5" s="434"/>
      <c r="T5" s="277"/>
      <c r="U5" s="1255" t="e">
        <f>INDEX(PT_DIFFERENTIATION_NUM_IST_TE,MATCH(D5,PT_DIFFERENTIATION_IST_TE_ID,0))</f>
        <v>#N/A</v>
      </c>
      <c r="V5" s="229" t="s">
        <v>371</v>
      </c>
      <c r="W5" s="217"/>
      <c r="X5" s="2140"/>
      <c r="Y5" s="2141"/>
      <c r="Z5" s="2141"/>
      <c r="AA5" s="2141"/>
      <c r="AB5" s="2141"/>
      <c r="AC5" s="2141"/>
      <c r="AD5" s="2141"/>
      <c r="AE5" s="2141"/>
      <c r="AF5" s="2142"/>
      <c r="AG5" s="2140" t="e">
        <f>INDEX(PT_DIFFERENTIATION_IST_TE,MATCH(D5,PT_DIFFERENTIATION_IST_TE_ID,0))</f>
        <v>#N/A</v>
      </c>
      <c r="AH5" s="2141"/>
      <c r="AI5" s="2141"/>
      <c r="AJ5" s="2141"/>
      <c r="AK5" s="2141"/>
      <c r="AL5" s="2141"/>
      <c r="AM5" s="2141"/>
      <c r="AN5" s="2141"/>
      <c r="AO5" s="2141"/>
      <c r="AP5" s="2142"/>
      <c r="AQ5" s="1179" t="s">
        <v>372</v>
      </c>
      <c r="AS5" s="425"/>
      <c r="AT5" s="425" t="str">
        <f t="shared" si="0"/>
        <v xml:space="preserve">Источник тепловой энергии  </v>
      </c>
      <c r="AU5" s="425"/>
      <c r="AV5" s="425"/>
    </row>
    <row r="6" spans="1:48" ht="14.25" hidden="1" customHeight="1">
      <c r="A6" s="1188"/>
      <c r="B6" s="1188"/>
      <c r="C6" s="1188"/>
      <c r="D6" s="1188"/>
      <c r="E6" s="2182"/>
      <c r="F6" s="2182"/>
      <c r="G6" s="2182"/>
      <c r="H6" s="2182"/>
      <c r="I6" s="2019" t="e">
        <f>U5&amp;".1"</f>
        <v>#N/A</v>
      </c>
      <c r="J6" s="1188"/>
      <c r="K6" s="1188"/>
      <c r="L6" s="1188"/>
      <c r="M6" s="1230" t="s">
        <v>373</v>
      </c>
      <c r="N6" s="434"/>
      <c r="Q6" s="2150">
        <v>1</v>
      </c>
      <c r="R6" s="1250"/>
      <c r="S6" s="1250"/>
      <c r="T6" s="280"/>
      <c r="U6" s="951"/>
      <c r="V6" s="1301"/>
      <c r="W6" s="1302"/>
      <c r="X6" s="2175"/>
      <c r="Y6" s="2176"/>
      <c r="Z6" s="2176"/>
      <c r="AA6" s="2176"/>
      <c r="AB6" s="2176"/>
      <c r="AC6" s="2176"/>
      <c r="AD6" s="2176"/>
      <c r="AE6" s="2176"/>
      <c r="AF6" s="2177"/>
      <c r="AG6" s="2175"/>
      <c r="AH6" s="2176"/>
      <c r="AI6" s="2176"/>
      <c r="AJ6" s="2176"/>
      <c r="AK6" s="2176"/>
      <c r="AL6" s="2176"/>
      <c r="AM6" s="2176"/>
      <c r="AN6" s="2176"/>
      <c r="AO6" s="2176"/>
      <c r="AP6" s="2177"/>
      <c r="AQ6" s="1303"/>
      <c r="AS6" s="425"/>
      <c r="AT6" s="425" t="str">
        <f t="shared" si="0"/>
        <v/>
      </c>
      <c r="AU6" s="425"/>
      <c r="AV6" s="425"/>
    </row>
    <row r="7" spans="1:48" ht="21" hidden="1" customHeight="1">
      <c r="A7" s="1188"/>
      <c r="B7" s="1188"/>
      <c r="C7" s="1188"/>
      <c r="D7" s="1188"/>
      <c r="E7" s="2182"/>
      <c r="F7" s="2182"/>
      <c r="G7" s="2182"/>
      <c r="H7" s="2182"/>
      <c r="I7" s="2001"/>
      <c r="J7" s="2019" t="e">
        <f>I6&amp;".1"</f>
        <v>#N/A</v>
      </c>
      <c r="K7" s="1188"/>
      <c r="L7" s="1188"/>
      <c r="M7" s="1230" t="s">
        <v>376</v>
      </c>
      <c r="N7" s="434"/>
      <c r="O7" s="252"/>
      <c r="Q7" s="2150"/>
      <c r="R7" s="2150">
        <v>1</v>
      </c>
      <c r="S7" s="443"/>
      <c r="T7" s="281"/>
      <c r="U7" s="1255" t="e">
        <f>$J7</f>
        <v>#N/A</v>
      </c>
      <c r="V7" s="203" t="s">
        <v>377</v>
      </c>
      <c r="W7" s="217"/>
      <c r="X7" s="2134"/>
      <c r="Y7" s="2135"/>
      <c r="Z7" s="2135"/>
      <c r="AA7" s="2135"/>
      <c r="AB7" s="2135"/>
      <c r="AC7" s="2130"/>
      <c r="AD7" s="2130"/>
      <c r="AE7" s="2130"/>
      <c r="AF7" s="2183"/>
      <c r="AG7" s="2134"/>
      <c r="AH7" s="2135"/>
      <c r="AI7" s="2135"/>
      <c r="AJ7" s="2135"/>
      <c r="AK7" s="2135"/>
      <c r="AL7" s="2135"/>
      <c r="AM7" s="2135"/>
      <c r="AN7" s="2135"/>
      <c r="AO7" s="2135"/>
      <c r="AP7" s="2136"/>
      <c r="AQ7" s="1179" t="s">
        <v>378</v>
      </c>
      <c r="AS7" s="425"/>
      <c r="AT7" s="425" t="str">
        <f t="shared" si="0"/>
        <v>Группа потребителей</v>
      </c>
      <c r="AU7" s="425"/>
      <c r="AV7" s="425"/>
    </row>
    <row r="8" spans="1:48" ht="21" hidden="1" customHeight="1">
      <c r="A8" s="1188"/>
      <c r="B8" s="1188"/>
      <c r="C8" s="1188"/>
      <c r="D8" s="1188"/>
      <c r="E8" s="2182"/>
      <c r="F8" s="2182"/>
      <c r="G8" s="2182"/>
      <c r="H8" s="2182"/>
      <c r="I8" s="2001"/>
      <c r="J8" s="2001"/>
      <c r="K8" s="2019" t="e">
        <f>J7&amp;".1"</f>
        <v>#N/A</v>
      </c>
      <c r="L8" s="65"/>
      <c r="M8" s="1230" t="s">
        <v>379</v>
      </c>
      <c r="N8" s="434"/>
      <c r="O8" s="252"/>
      <c r="P8" s="252"/>
      <c r="Q8" s="2150"/>
      <c r="R8" s="2150"/>
      <c r="S8" s="2150">
        <v>1</v>
      </c>
      <c r="T8" s="281"/>
      <c r="U8" s="1255" t="e">
        <f>$K8</f>
        <v>#N/A</v>
      </c>
      <c r="V8" s="1266"/>
      <c r="W8" s="217"/>
      <c r="X8" s="668"/>
      <c r="Y8" s="668"/>
      <c r="Z8" s="668"/>
      <c r="AA8" s="668"/>
      <c r="AB8" s="1323"/>
      <c r="AC8" s="2151"/>
      <c r="AD8" s="2029" t="s">
        <v>50</v>
      </c>
      <c r="AE8" s="2151"/>
      <c r="AF8" s="2029" t="s">
        <v>50</v>
      </c>
      <c r="AG8" s="1325"/>
      <c r="AH8" s="668"/>
      <c r="AI8" s="668"/>
      <c r="AJ8" s="668"/>
      <c r="AK8" s="1178"/>
      <c r="AL8" s="2151"/>
      <c r="AM8" s="2029" t="s">
        <v>50</v>
      </c>
      <c r="AN8" s="2151"/>
      <c r="AO8" s="2029" t="s">
        <v>50</v>
      </c>
      <c r="AP8" s="249"/>
      <c r="AQ8" s="1228" t="s">
        <v>421</v>
      </c>
      <c r="AR8" s="436" t="e">
        <f ca="1">STRCHECKDATE(X10:AP10)</f>
        <v>#NAME?</v>
      </c>
      <c r="AS8" s="425"/>
      <c r="AT8" s="425" t="str">
        <f t="shared" si="0"/>
        <v/>
      </c>
      <c r="AU8" s="425"/>
      <c r="AV8" s="425"/>
    </row>
    <row r="9" spans="1:48" ht="21" hidden="1" customHeight="1">
      <c r="A9" s="1188"/>
      <c r="B9" s="1188"/>
      <c r="C9" s="1188"/>
      <c r="D9" s="1188"/>
      <c r="E9" s="2182"/>
      <c r="F9" s="2182"/>
      <c r="G9" s="2182"/>
      <c r="H9" s="2182"/>
      <c r="I9" s="2001"/>
      <c r="J9" s="2001"/>
      <c r="K9" s="2001"/>
      <c r="L9" s="2019" t="e">
        <f>K8&amp;".1"</f>
        <v>#N/A</v>
      </c>
      <c r="M9" s="1230"/>
      <c r="N9" s="434"/>
      <c r="O9" s="252"/>
      <c r="P9" s="252"/>
      <c r="Q9" s="2150"/>
      <c r="R9" s="2150"/>
      <c r="S9" s="2150"/>
      <c r="T9" s="281"/>
      <c r="U9" s="1255" t="e">
        <f>$L9</f>
        <v>#N/A</v>
      </c>
      <c r="V9" s="1309"/>
      <c r="W9" s="217"/>
      <c r="X9" s="249"/>
      <c r="Y9" s="668"/>
      <c r="Z9" s="668"/>
      <c r="AA9" s="668"/>
      <c r="AB9" s="1323"/>
      <c r="AC9" s="2152"/>
      <c r="AD9" s="2029"/>
      <c r="AE9" s="2152"/>
      <c r="AF9" s="2029"/>
      <c r="AG9" s="1325"/>
      <c r="AH9" s="668"/>
      <c r="AI9" s="668"/>
      <c r="AJ9" s="668"/>
      <c r="AK9" s="1178"/>
      <c r="AL9" s="2152"/>
      <c r="AM9" s="2029"/>
      <c r="AN9" s="2152"/>
      <c r="AO9" s="2029"/>
      <c r="AP9" s="249"/>
      <c r="AQ9" s="2169" t="s">
        <v>422</v>
      </c>
      <c r="AS9" s="425"/>
      <c r="AT9" s="425"/>
      <c r="AU9" s="425"/>
      <c r="AV9" s="425"/>
    </row>
    <row r="10" spans="1:48" ht="14.25" hidden="1" customHeight="1">
      <c r="A10" s="1188"/>
      <c r="B10" s="1188"/>
      <c r="C10" s="1188"/>
      <c r="D10" s="1188"/>
      <c r="E10" s="2182"/>
      <c r="F10" s="2182"/>
      <c r="G10" s="2182"/>
      <c r="H10" s="2182"/>
      <c r="I10" s="2001"/>
      <c r="J10" s="2001"/>
      <c r="K10" s="2001"/>
      <c r="L10" s="2019"/>
      <c r="M10" s="1230"/>
      <c r="N10" s="434"/>
      <c r="O10" s="252"/>
      <c r="P10" s="252"/>
      <c r="Q10" s="2150"/>
      <c r="R10" s="2150"/>
      <c r="S10" s="2150"/>
      <c r="T10" s="281"/>
      <c r="U10" s="1261"/>
      <c r="V10" s="217"/>
      <c r="W10" s="217"/>
      <c r="X10" s="249"/>
      <c r="Y10" s="249"/>
      <c r="Z10" s="249"/>
      <c r="AA10" s="249"/>
      <c r="AB10" s="1324" t="str">
        <f>AC8&amp;"-"&amp;AE8</f>
        <v>-</v>
      </c>
      <c r="AC10" s="2152"/>
      <c r="AD10" s="2029"/>
      <c r="AE10" s="2152"/>
      <c r="AF10" s="2029"/>
      <c r="AG10" s="1300"/>
      <c r="AH10" s="249"/>
      <c r="AI10" s="249"/>
      <c r="AJ10" s="249"/>
      <c r="AK10" s="253" t="str">
        <f>AL8&amp;"-"&amp;AN8</f>
        <v>-</v>
      </c>
      <c r="AL10" s="2152"/>
      <c r="AM10" s="2029"/>
      <c r="AN10" s="2152"/>
      <c r="AO10" s="2029"/>
      <c r="AP10" s="249"/>
      <c r="AQ10" s="2170"/>
      <c r="AS10" s="425"/>
      <c r="AT10" s="425" t="str">
        <f>IF(V10="","",V10)</f>
        <v/>
      </c>
      <c r="AU10" s="425"/>
      <c r="AV10" s="425"/>
    </row>
    <row r="11" spans="1:48" ht="11.25" hidden="1" customHeight="1">
      <c r="A11" s="1188"/>
      <c r="B11" s="1188"/>
      <c r="C11" s="1188"/>
      <c r="D11" s="1188"/>
      <c r="E11" s="2182"/>
      <c r="F11" s="2182"/>
      <c r="G11" s="2182"/>
      <c r="H11" s="2182"/>
      <c r="I11" s="2001"/>
      <c r="J11" s="2001"/>
      <c r="K11" s="2019"/>
      <c r="L11" s="1188"/>
      <c r="M11" s="1230"/>
      <c r="N11" s="434"/>
      <c r="O11" s="252"/>
      <c r="P11" s="252"/>
      <c r="Q11" s="2150"/>
      <c r="R11" s="2150"/>
      <c r="S11" s="2150"/>
      <c r="T11" s="281"/>
      <c r="U11" s="1200"/>
      <c r="V11" s="205" t="s">
        <v>423</v>
      </c>
      <c r="W11" s="1310"/>
      <c r="X11" s="1311"/>
      <c r="Y11" s="1311"/>
      <c r="Z11" s="1311"/>
      <c r="AA11" s="1311"/>
      <c r="AB11" s="1312"/>
      <c r="AC11" s="2152"/>
      <c r="AD11" s="2029"/>
      <c r="AE11" s="2152"/>
      <c r="AF11" s="2029"/>
      <c r="AG11" s="1311"/>
      <c r="AH11" s="1311"/>
      <c r="AI11" s="1311"/>
      <c r="AJ11" s="1311"/>
      <c r="AK11" s="1312"/>
      <c r="AL11" s="2152"/>
      <c r="AM11" s="2029"/>
      <c r="AN11" s="2152"/>
      <c r="AO11" s="2029"/>
      <c r="AP11" s="1313"/>
      <c r="AQ11" s="2170"/>
      <c r="AS11" s="425"/>
      <c r="AT11" s="425"/>
      <c r="AU11" s="425"/>
      <c r="AV11" s="425"/>
    </row>
    <row r="12" spans="1:48" ht="15" hidden="1" customHeight="1">
      <c r="A12" s="1188"/>
      <c r="B12" s="1188"/>
      <c r="C12" s="1188"/>
      <c r="D12" s="1188"/>
      <c r="E12" s="2182"/>
      <c r="F12" s="2182"/>
      <c r="G12" s="2182"/>
      <c r="H12" s="2182"/>
      <c r="I12" s="2001"/>
      <c r="J12" s="2019"/>
      <c r="K12" s="1188"/>
      <c r="L12" s="1188"/>
      <c r="M12" s="1230"/>
      <c r="N12" s="434"/>
      <c r="O12" s="252"/>
      <c r="Q12" s="2150"/>
      <c r="R12" s="2150"/>
      <c r="S12" s="1250"/>
      <c r="T12" s="280"/>
      <c r="U12" s="1200"/>
      <c r="V12" s="204" t="s">
        <v>381</v>
      </c>
      <c r="W12" s="294"/>
      <c r="X12" s="294"/>
      <c r="Y12" s="294"/>
      <c r="Z12" s="294"/>
      <c r="AA12" s="294"/>
      <c r="AB12" s="294"/>
      <c r="AC12" s="1326"/>
      <c r="AD12" s="1326"/>
      <c r="AE12" s="1326"/>
      <c r="AF12" s="1326"/>
      <c r="AG12" s="294"/>
      <c r="AH12" s="294"/>
      <c r="AI12" s="294"/>
      <c r="AJ12" s="294"/>
      <c r="AK12" s="294"/>
      <c r="AL12" s="294"/>
      <c r="AM12" s="294"/>
      <c r="AN12" s="294"/>
      <c r="AO12" s="294"/>
      <c r="AP12" s="248"/>
      <c r="AQ12" s="2171"/>
      <c r="AS12" s="425"/>
      <c r="AT12" s="425" t="str">
        <f t="shared" ref="AT12:AT17" si="1">IF(V12="","",V12)</f>
        <v>Добавить вид теплоносителя (параметры теплоносителя)</v>
      </c>
      <c r="AU12" s="425"/>
      <c r="AV12" s="425"/>
    </row>
    <row r="13" spans="1:48" ht="11.25" hidden="1" customHeight="1">
      <c r="A13" s="1188"/>
      <c r="B13" s="1188"/>
      <c r="C13" s="1188"/>
      <c r="D13" s="1188"/>
      <c r="E13" s="2182"/>
      <c r="F13" s="2182"/>
      <c r="G13" s="2182"/>
      <c r="H13" s="2182"/>
      <c r="I13" s="2019"/>
      <c r="J13" s="1188"/>
      <c r="K13" s="1188"/>
      <c r="L13" s="1188"/>
      <c r="M13" s="1230"/>
      <c r="N13" s="434"/>
      <c r="Q13" s="2150"/>
      <c r="R13" s="1250"/>
      <c r="S13" s="1250"/>
      <c r="T13" s="280"/>
      <c r="U13" s="1200"/>
      <c r="V13" s="291" t="s">
        <v>382</v>
      </c>
      <c r="W13" s="294"/>
      <c r="X13" s="294"/>
      <c r="Y13" s="294"/>
      <c r="Z13" s="294"/>
      <c r="AA13" s="294"/>
      <c r="AB13" s="294"/>
      <c r="AC13" s="294"/>
      <c r="AD13" s="294"/>
      <c r="AE13" s="294"/>
      <c r="AF13" s="293"/>
      <c r="AG13" s="294"/>
      <c r="AH13" s="294"/>
      <c r="AI13" s="294"/>
      <c r="AJ13" s="294"/>
      <c r="AK13" s="294"/>
      <c r="AL13" s="294"/>
      <c r="AM13" s="294"/>
      <c r="AN13" s="294"/>
      <c r="AO13" s="293"/>
      <c r="AP13" s="294"/>
      <c r="AQ13" s="220"/>
      <c r="AS13" s="425"/>
      <c r="AT13" s="425" t="str">
        <f t="shared" si="1"/>
        <v>Добавить группу потребителей</v>
      </c>
      <c r="AU13" s="425"/>
      <c r="AV13" s="425"/>
    </row>
    <row r="14" spans="1:48" ht="14.25" hidden="1" customHeight="1">
      <c r="A14" s="1188"/>
      <c r="B14" s="1188"/>
      <c r="C14" s="1188"/>
      <c r="D14" s="1188"/>
      <c r="E14" s="2182"/>
      <c r="F14" s="2182"/>
      <c r="G14" s="2182"/>
      <c r="H14" s="2181"/>
      <c r="I14" s="1188"/>
      <c r="J14" s="1188"/>
      <c r="K14" s="1188"/>
      <c r="L14" s="1188"/>
      <c r="M14" s="1230"/>
      <c r="N14" s="607"/>
      <c r="O14" s="607"/>
      <c r="P14" s="434"/>
      <c r="Q14" s="284"/>
      <c r="R14" s="303"/>
      <c r="S14" s="279"/>
      <c r="T14" s="284"/>
      <c r="U14" s="1304"/>
      <c r="V14" s="1305"/>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7"/>
      <c r="AS14" s="425"/>
      <c r="AT14" s="425" t="str">
        <f t="shared" si="1"/>
        <v/>
      </c>
      <c r="AU14" s="425"/>
      <c r="AV14" s="425"/>
    </row>
    <row r="15" spans="1:48" s="1881" customFormat="1" ht="14.25" hidden="1" customHeight="1">
      <c r="A15" s="1292"/>
      <c r="B15" s="1292"/>
      <c r="C15" s="1292"/>
      <c r="D15" s="1292"/>
      <c r="E15" s="2182"/>
      <c r="F15" s="2182"/>
      <c r="G15" s="2181"/>
      <c r="H15" s="1292"/>
      <c r="I15" s="1292"/>
      <c r="J15" s="1292"/>
      <c r="K15" s="1292"/>
      <c r="L15" s="1292"/>
      <c r="M15" s="1295"/>
      <c r="N15" s="1296"/>
      <c r="O15" s="1296"/>
      <c r="P15" s="275"/>
      <c r="Q15" s="1236"/>
      <c r="R15" s="1237"/>
      <c r="S15" s="1236"/>
      <c r="T15" s="1236"/>
      <c r="U15" s="1238"/>
      <c r="V15" s="1239" t="s">
        <v>384</v>
      </c>
      <c r="W15" s="1240"/>
      <c r="X15" s="1240"/>
      <c r="Y15" s="1240"/>
      <c r="Z15" s="1240"/>
      <c r="AA15" s="1240"/>
      <c r="AB15" s="1240"/>
      <c r="AC15" s="1240"/>
      <c r="AD15" s="1240"/>
      <c r="AE15" s="1240"/>
      <c r="AF15" s="1240"/>
      <c r="AG15" s="1240"/>
      <c r="AH15" s="1240"/>
      <c r="AI15" s="1240"/>
      <c r="AJ15" s="1240"/>
      <c r="AK15" s="1240"/>
      <c r="AL15" s="1240"/>
      <c r="AM15" s="1240"/>
      <c r="AN15" s="1240"/>
      <c r="AO15" s="1240"/>
      <c r="AP15" s="1240"/>
      <c r="AQ15" s="1240"/>
      <c r="AS15" s="707"/>
      <c r="AT15" s="707" t="str">
        <f t="shared" si="1"/>
        <v>Добавить источник для дифференциации</v>
      </c>
      <c r="AU15" s="707"/>
      <c r="AV15" s="707"/>
    </row>
    <row r="16" spans="1:48" s="1881" customFormat="1" ht="14.25" hidden="1" customHeight="1">
      <c r="A16" s="1292"/>
      <c r="B16" s="1292"/>
      <c r="C16" s="1292"/>
      <c r="D16" s="1292"/>
      <c r="E16" s="2182"/>
      <c r="F16" s="2181"/>
      <c r="G16" s="1292"/>
      <c r="H16" s="1292"/>
      <c r="I16" s="1292"/>
      <c r="J16" s="1292"/>
      <c r="K16" s="1292"/>
      <c r="L16" s="1292"/>
      <c r="M16" s="1295"/>
      <c r="N16" s="1297"/>
      <c r="O16" s="1297"/>
      <c r="P16" s="275"/>
      <c r="Q16" s="1236"/>
      <c r="R16" s="1237"/>
      <c r="S16" s="1236"/>
      <c r="T16" s="1236"/>
      <c r="U16" s="1242"/>
      <c r="V16" s="1243" t="s">
        <v>385</v>
      </c>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S16" s="707"/>
      <c r="AT16" s="707" t="str">
        <f t="shared" si="1"/>
        <v>Добавить централизованную систему для дифференциации</v>
      </c>
      <c r="AU16" s="707"/>
      <c r="AV16" s="707"/>
    </row>
    <row r="17" spans="1:48" s="1881" customFormat="1" ht="14.25" hidden="1" customHeight="1">
      <c r="A17" s="1292"/>
      <c r="B17" s="1292"/>
      <c r="C17" s="1292"/>
      <c r="D17" s="1292"/>
      <c r="E17" s="2181"/>
      <c r="F17" s="1292"/>
      <c r="G17" s="1292"/>
      <c r="H17" s="1292"/>
      <c r="I17" s="1292"/>
      <c r="J17" s="1292"/>
      <c r="K17" s="1292"/>
      <c r="L17" s="1292"/>
      <c r="M17" s="1295"/>
      <c r="N17" s="1297"/>
      <c r="O17" s="1297"/>
      <c r="P17" s="275"/>
      <c r="Q17" s="1236"/>
      <c r="R17" s="1237"/>
      <c r="S17" s="1236"/>
      <c r="T17" s="1236"/>
      <c r="U17" s="1242"/>
      <c r="V17" s="1245" t="s">
        <v>386</v>
      </c>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S17" s="707"/>
      <c r="AT17" s="707" t="str">
        <f t="shared" si="1"/>
        <v>Добавить территорию для дифференциации</v>
      </c>
      <c r="AU17" s="707"/>
      <c r="AV17" s="707"/>
    </row>
    <row r="18" spans="1:48" ht="14.25" hidden="1" customHeight="1">
      <c r="AF18" s="252"/>
      <c r="AO18" s="252"/>
    </row>
    <row r="19" spans="1:48" ht="14.25" hidden="1" customHeight="1">
      <c r="AG19" s="1278"/>
      <c r="AH19" s="1278"/>
      <c r="AI19" s="1278"/>
      <c r="AJ19" s="1278"/>
      <c r="AK19" s="1279"/>
      <c r="AL19" s="2144"/>
      <c r="AM19" s="2143" t="s">
        <v>50</v>
      </c>
      <c r="AN19" s="2144"/>
      <c r="AO19" s="2143" t="s">
        <v>50</v>
      </c>
    </row>
    <row r="20" spans="1:48" ht="14.25" hidden="1" customHeight="1">
      <c r="AG20" s="1278"/>
      <c r="AH20" s="1278"/>
      <c r="AI20" s="1278"/>
      <c r="AJ20" s="1278"/>
      <c r="AK20" s="1279"/>
      <c r="AL20" s="2144"/>
      <c r="AM20" s="2143"/>
      <c r="AN20" s="2144"/>
      <c r="AO20" s="2143"/>
    </row>
    <row r="21" spans="1:48" ht="14.25" hidden="1" customHeight="1">
      <c r="AG21" s="1278"/>
      <c r="AH21" s="1278"/>
      <c r="AI21" s="1278"/>
      <c r="AJ21" s="1278"/>
      <c r="AK21" s="1279"/>
      <c r="AL21" s="2144"/>
      <c r="AM21" s="2143"/>
      <c r="AN21" s="2144"/>
      <c r="AO21" s="2143"/>
    </row>
    <row r="22" spans="1:48" ht="14.25" hidden="1" customHeight="1">
      <c r="AG22" s="1278"/>
      <c r="AH22" s="1278"/>
      <c r="AI22" s="1278"/>
      <c r="AJ22" s="1278"/>
      <c r="AK22" s="253" t="str">
        <f>AL19&amp;"-"&amp;AN19</f>
        <v>-</v>
      </c>
      <c r="AL22" s="2143"/>
      <c r="AM22" s="2143"/>
      <c r="AN22" s="2143"/>
      <c r="AO22" s="2143"/>
    </row>
    <row r="23" spans="1:48" ht="14.25" hidden="1" customHeight="1">
      <c r="AO23" s="252"/>
    </row>
    <row r="24" spans="1:48" s="1882" customFormat="1" ht="22.5" hidden="1" customHeight="1">
      <c r="A24" s="1057"/>
      <c r="B24" s="1057"/>
      <c r="C24" s="1057"/>
      <c r="D24" s="1057"/>
      <c r="E24" s="1057"/>
      <c r="F24" s="1057"/>
      <c r="G24" s="1057"/>
      <c r="H24" s="1057"/>
      <c r="I24" s="1057"/>
      <c r="J24" s="1057"/>
      <c r="K24" s="1057"/>
      <c r="L24" s="1057"/>
      <c r="M24" s="1246"/>
      <c r="N24" s="1247"/>
      <c r="O24" s="1247"/>
      <c r="P24" s="1264" t="s">
        <v>387</v>
      </c>
      <c r="Q24" s="1280"/>
      <c r="R24" s="1289"/>
      <c r="S24" s="1289"/>
      <c r="T24" s="1289"/>
      <c r="U24" s="648"/>
      <c r="AC24" s="1285"/>
      <c r="AE24" s="1285"/>
      <c r="AF24" s="1284"/>
      <c r="AL24" s="1285"/>
      <c r="AN24" s="1285"/>
      <c r="AO24" s="1284"/>
      <c r="AR24" s="436"/>
      <c r="AS24" s="436"/>
      <c r="AT24" s="436"/>
      <c r="AU24" s="436"/>
      <c r="AV24" s="436"/>
    </row>
    <row r="25" spans="1:48" s="1882" customFormat="1" ht="14.25" hidden="1" customHeight="1">
      <c r="A25" s="1057"/>
      <c r="B25" s="1057"/>
      <c r="C25" s="1057"/>
      <c r="D25" s="1057"/>
      <c r="E25" s="1057"/>
      <c r="F25" s="1057"/>
      <c r="G25" s="1057"/>
      <c r="H25" s="1057"/>
      <c r="I25" s="1057"/>
      <c r="J25" s="1057"/>
      <c r="K25" s="1057"/>
      <c r="L25" s="1057"/>
      <c r="M25" s="1246"/>
      <c r="N25" s="1247"/>
      <c r="O25" s="1247"/>
      <c r="P25" s="1247"/>
      <c r="Q25" s="1280"/>
      <c r="R25" s="1289"/>
      <c r="S25" s="1289"/>
      <c r="T25" s="1289"/>
      <c r="U25" s="648"/>
      <c r="AF25" s="1284"/>
      <c r="AO25" s="1284"/>
      <c r="AR25" s="436"/>
      <c r="AS25" s="436"/>
      <c r="AT25" s="436"/>
      <c r="AU25" s="436"/>
      <c r="AV25" s="436"/>
    </row>
    <row r="26" spans="1:48" s="1882" customFormat="1" ht="14.25" hidden="1" customHeight="1">
      <c r="A26" s="1057"/>
      <c r="B26" s="1057"/>
      <c r="C26" s="1057"/>
      <c r="D26" s="1057"/>
      <c r="E26" s="1057"/>
      <c r="F26" s="1057"/>
      <c r="G26" s="1057"/>
      <c r="H26" s="1057"/>
      <c r="I26" s="1057"/>
      <c r="J26" s="1057"/>
      <c r="K26" s="1057"/>
      <c r="L26" s="1057"/>
      <c r="M26" s="1246"/>
      <c r="N26" s="1247"/>
      <c r="O26" s="1247"/>
      <c r="P26" s="1230" t="s">
        <v>388</v>
      </c>
      <c r="Q26" s="1280"/>
      <c r="R26" s="1289"/>
      <c r="S26" s="1289"/>
      <c r="T26" s="1289"/>
      <c r="U26" s="648"/>
      <c r="V26" s="1062" t="s">
        <v>389</v>
      </c>
      <c r="AD26" s="107" t="s">
        <v>390</v>
      </c>
      <c r="AF26" s="107" t="s">
        <v>391</v>
      </c>
      <c r="AG26" s="1062" t="s">
        <v>389</v>
      </c>
      <c r="AM26" s="107" t="s">
        <v>392</v>
      </c>
      <c r="AO26" s="107" t="s">
        <v>391</v>
      </c>
      <c r="AR26" s="436"/>
      <c r="AS26" s="436"/>
      <c r="AT26" s="436"/>
      <c r="AU26" s="436"/>
      <c r="AV26" s="436"/>
    </row>
    <row r="27" spans="1:48" ht="14.25" hidden="1" customHeight="1">
      <c r="P27" s="1230"/>
    </row>
    <row r="28" spans="1:48" ht="14.25" hidden="1" customHeight="1">
      <c r="P28" s="1230"/>
    </row>
    <row r="29" spans="1:48" ht="14.25" customHeight="1">
      <c r="R29" s="304"/>
      <c r="S29" s="304"/>
      <c r="T29" s="304"/>
      <c r="U29" s="1197"/>
      <c r="V29" s="289"/>
      <c r="W29" s="289"/>
      <c r="X29" s="434"/>
      <c r="Y29" s="434"/>
      <c r="Z29" s="434"/>
      <c r="AA29" s="434"/>
      <c r="AB29" s="434"/>
      <c r="AC29" s="434"/>
      <c r="AD29" s="434"/>
      <c r="AE29" s="434"/>
      <c r="AF29" s="434"/>
      <c r="AG29" s="434"/>
      <c r="AH29" s="434"/>
      <c r="AI29" s="434"/>
      <c r="AJ29" s="434"/>
      <c r="AK29" s="434"/>
      <c r="AL29" s="434"/>
      <c r="AM29" s="434"/>
      <c r="AN29" s="434"/>
      <c r="AO29" s="434"/>
    </row>
    <row r="30" spans="1:48" ht="54" customHeight="1">
      <c r="R30" s="304"/>
      <c r="S30" s="304"/>
      <c r="T30" s="304"/>
      <c r="U30" s="2127"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27"/>
      <c r="W30" s="2127"/>
      <c r="X30" s="2127"/>
      <c r="Y30" s="2127"/>
      <c r="Z30" s="2127"/>
      <c r="AA30" s="2127"/>
      <c r="AB30" s="2127"/>
      <c r="AC30" s="2127"/>
      <c r="AD30" s="2127"/>
      <c r="AE30" s="2127"/>
      <c r="AF30" s="2127"/>
      <c r="AG30" s="2127"/>
      <c r="AH30" s="2127"/>
      <c r="AI30" s="2127"/>
      <c r="AJ30" s="2127"/>
      <c r="AK30" s="2127"/>
      <c r="AL30" s="2127"/>
      <c r="AM30" s="2127"/>
      <c r="AN30" s="2127"/>
      <c r="AO30" s="1154"/>
    </row>
    <row r="31" spans="1:48" ht="14.25" customHeight="1">
      <c r="R31" s="304"/>
      <c r="S31" s="304"/>
      <c r="T31" s="304"/>
      <c r="U31" s="2098" t="str">
        <f>IF(org=0,"Не определено",org)</f>
        <v>ООО "Горводоканал"</v>
      </c>
      <c r="V31" s="2098"/>
      <c r="W31" s="2098"/>
      <c r="X31" s="2098"/>
      <c r="Y31" s="2098"/>
      <c r="Z31" s="2098"/>
      <c r="AA31" s="2098"/>
      <c r="AB31" s="2098"/>
      <c r="AC31" s="2098"/>
      <c r="AD31" s="2098"/>
      <c r="AE31" s="2098"/>
      <c r="AF31" s="2098"/>
      <c r="AG31" s="2098"/>
      <c r="AH31" s="2098"/>
      <c r="AI31" s="2098"/>
      <c r="AJ31" s="2098"/>
      <c r="AK31" s="2098"/>
      <c r="AL31" s="2098"/>
      <c r="AM31" s="2098"/>
      <c r="AN31" s="2098"/>
      <c r="AO31" s="1154"/>
    </row>
    <row r="32" spans="1:48" ht="14.25" hidden="1" customHeight="1">
      <c r="R32" s="304"/>
      <c r="S32" s="304"/>
      <c r="T32" s="304"/>
      <c r="U32" s="1197"/>
      <c r="V32" s="289"/>
      <c r="W32" s="289"/>
      <c r="X32" s="245"/>
      <c r="Y32" s="245"/>
      <c r="Z32" s="245"/>
      <c r="AA32" s="245"/>
      <c r="AB32" s="245"/>
      <c r="AC32" s="245"/>
      <c r="AD32" s="245"/>
      <c r="AE32" s="245"/>
      <c r="AF32" s="245"/>
      <c r="AG32" s="245"/>
      <c r="AH32" s="245"/>
      <c r="AI32" s="245"/>
      <c r="AJ32" s="245"/>
      <c r="AK32" s="245"/>
      <c r="AL32" s="245"/>
      <c r="AM32" s="245"/>
      <c r="AN32" s="245"/>
      <c r="AO32" s="245"/>
      <c r="AP32" s="434"/>
    </row>
    <row r="33" spans="1:48" s="1887" customFormat="1" ht="25.5" hidden="1" customHeight="1">
      <c r="A33" s="1160"/>
      <c r="B33" s="1160"/>
      <c r="C33" s="1160"/>
      <c r="D33" s="1160"/>
      <c r="E33" s="1160"/>
      <c r="F33" s="1160"/>
      <c r="G33" s="1160"/>
      <c r="H33" s="1160"/>
      <c r="I33" s="1160"/>
      <c r="J33" s="1160"/>
      <c r="K33" s="1160"/>
      <c r="L33" s="1160"/>
      <c r="M33" s="1298"/>
      <c r="N33" s="1160"/>
      <c r="O33" s="1160"/>
      <c r="P33" s="1160"/>
      <c r="U33" s="2137" t="s">
        <v>37</v>
      </c>
      <c r="V33" s="2137"/>
      <c r="W33" s="1290"/>
      <c r="X33" s="2139" t="str">
        <f>IF(TITLE_NAME_OR_PR_CHANGE="",IF(TITLE_NAME_OR_PR="","",TITLE_NAME_OR_PR),TITLE_NAME_OR_PR_CHANGE)</f>
        <v/>
      </c>
      <c r="Y33" s="2139"/>
      <c r="Z33" s="2139"/>
      <c r="AA33" s="2139"/>
      <c r="AB33" s="2139"/>
      <c r="AC33" s="2139"/>
      <c r="AD33" s="2139"/>
      <c r="AE33" s="2139"/>
      <c r="AF33" s="251"/>
      <c r="AG33" s="2139" t="str">
        <f>IF(TITLE_NAME_OR_PR_CHANGE="",IF(TITLE_NAME_OR_PR="","",TITLE_NAME_OR_PR),TITLE_NAME_OR_PR_CHANGE)</f>
        <v/>
      </c>
      <c r="AH33" s="2139"/>
      <c r="AI33" s="2139"/>
      <c r="AJ33" s="2139"/>
      <c r="AK33" s="2139"/>
      <c r="AL33" s="2139"/>
      <c r="AM33" s="2139"/>
      <c r="AN33" s="2139"/>
      <c r="AO33" s="251"/>
      <c r="AP33" s="251"/>
      <c r="AQ33" s="198"/>
      <c r="AR33" s="295"/>
      <c r="AS33" s="295"/>
      <c r="AT33" s="295"/>
      <c r="AU33" s="295"/>
      <c r="AV33" s="295"/>
    </row>
    <row r="34" spans="1:48" s="1887" customFormat="1" ht="18.75" hidden="1" customHeight="1">
      <c r="A34" s="1160"/>
      <c r="B34" s="1160"/>
      <c r="C34" s="1160"/>
      <c r="D34" s="1160"/>
      <c r="E34" s="1160"/>
      <c r="F34" s="1160"/>
      <c r="G34" s="1160"/>
      <c r="H34" s="1160"/>
      <c r="I34" s="1160"/>
      <c r="J34" s="1160"/>
      <c r="K34" s="1160"/>
      <c r="L34" s="1160"/>
      <c r="M34" s="1298"/>
      <c r="N34" s="1160"/>
      <c r="O34" s="1160"/>
      <c r="P34" s="1160"/>
      <c r="U34" s="2137" t="s">
        <v>393</v>
      </c>
      <c r="V34" s="2137"/>
      <c r="W34" s="1290"/>
      <c r="X34" s="2138" t="str">
        <f>IF(TITLE_DATE_PR_CHANGE="",IF(TITLE_DATE_PR="","",TITLE_DATE_PR),TITLE_DATE_PR_CHANGE)</f>
        <v/>
      </c>
      <c r="Y34" s="2138"/>
      <c r="Z34" s="2138"/>
      <c r="AA34" s="2138"/>
      <c r="AB34" s="2138"/>
      <c r="AC34" s="2138"/>
      <c r="AD34" s="2138"/>
      <c r="AE34" s="2138"/>
      <c r="AF34" s="251"/>
      <c r="AG34" s="2138" t="str">
        <f>IF(TITLE_DATE_PR_CHANGE="",IF(TITLE_DATE_PR="","",TITLE_DATE_PR),TITLE_DATE_PR_CHANGE)</f>
        <v/>
      </c>
      <c r="AH34" s="2138"/>
      <c r="AI34" s="2138"/>
      <c r="AJ34" s="2138"/>
      <c r="AK34" s="2138"/>
      <c r="AL34" s="2138"/>
      <c r="AM34" s="2138"/>
      <c r="AN34" s="2138"/>
      <c r="AO34" s="251"/>
      <c r="AP34" s="251"/>
      <c r="AQ34" s="198"/>
      <c r="AR34" s="295"/>
      <c r="AS34" s="295"/>
      <c r="AT34" s="295"/>
      <c r="AU34" s="295"/>
      <c r="AV34" s="295"/>
    </row>
    <row r="35" spans="1:48" s="1887" customFormat="1" ht="18.75" hidden="1" customHeight="1">
      <c r="A35" s="1160"/>
      <c r="B35" s="1160"/>
      <c r="C35" s="1160"/>
      <c r="D35" s="1160"/>
      <c r="E35" s="1160"/>
      <c r="F35" s="1160"/>
      <c r="G35" s="1160"/>
      <c r="H35" s="1160"/>
      <c r="I35" s="1160"/>
      <c r="J35" s="1160"/>
      <c r="K35" s="1160"/>
      <c r="L35" s="1160"/>
      <c r="M35" s="1298"/>
      <c r="N35" s="1160"/>
      <c r="O35" s="1160"/>
      <c r="P35" s="1160"/>
      <c r="U35" s="2137" t="s">
        <v>394</v>
      </c>
      <c r="V35" s="2137"/>
      <c r="W35" s="1290"/>
      <c r="X35" s="2139" t="str">
        <f>IF(TITLE_NUMBER_PR_CHANGE="",IF(TITLE_NUMBER_PR="","",TITLE_NUMBER_PR),TITLE_NUMBER_PR_CHANGE)</f>
        <v/>
      </c>
      <c r="Y35" s="2139"/>
      <c r="Z35" s="2139"/>
      <c r="AA35" s="2139"/>
      <c r="AB35" s="2139"/>
      <c r="AC35" s="2139"/>
      <c r="AD35" s="2139"/>
      <c r="AE35" s="2139"/>
      <c r="AF35" s="251"/>
      <c r="AG35" s="2139" t="str">
        <f>IF(TITLE_NUMBER_PR_CHANGE="",IF(TITLE_NUMBER_PR="","",TITLE_NUMBER_PR),TITLE_NUMBER_PR_CHANGE)</f>
        <v/>
      </c>
      <c r="AH35" s="2139"/>
      <c r="AI35" s="2139"/>
      <c r="AJ35" s="2139"/>
      <c r="AK35" s="2139"/>
      <c r="AL35" s="2139"/>
      <c r="AM35" s="2139"/>
      <c r="AN35" s="2139"/>
      <c r="AO35" s="251"/>
      <c r="AP35" s="251"/>
      <c r="AQ35" s="198"/>
      <c r="AR35" s="295"/>
      <c r="AS35" s="295"/>
      <c r="AT35" s="295"/>
      <c r="AU35" s="295"/>
      <c r="AV35" s="295"/>
    </row>
    <row r="36" spans="1:48" s="1887" customFormat="1" ht="18.75" hidden="1" customHeight="1">
      <c r="A36" s="1160"/>
      <c r="B36" s="1160"/>
      <c r="C36" s="1160"/>
      <c r="D36" s="1160"/>
      <c r="E36" s="1160"/>
      <c r="F36" s="1160"/>
      <c r="G36" s="1160"/>
      <c r="H36" s="1160"/>
      <c r="I36" s="1160"/>
      <c r="J36" s="1160"/>
      <c r="K36" s="1160"/>
      <c r="L36" s="1160"/>
      <c r="M36" s="1298"/>
      <c r="N36" s="1160"/>
      <c r="O36" s="1160"/>
      <c r="P36" s="1160"/>
      <c r="U36" s="2137" t="s">
        <v>38</v>
      </c>
      <c r="V36" s="2137"/>
      <c r="W36" s="1290"/>
      <c r="X36" s="2139" t="str">
        <f>IF(TITLE_IST_PUB_CHANGE="",IF(TITLE_IST_PUB="","",TITLE_IST_PUB),TITLE_IST_PUB_CHANGE)</f>
        <v/>
      </c>
      <c r="Y36" s="2139"/>
      <c r="Z36" s="2139"/>
      <c r="AA36" s="2139"/>
      <c r="AB36" s="2139"/>
      <c r="AC36" s="2139"/>
      <c r="AD36" s="2139"/>
      <c r="AE36" s="2139"/>
      <c r="AF36" s="251"/>
      <c r="AG36" s="2139" t="str">
        <f>IF(TITLE_IST_PUB_CHANGE="",IF(TITLE_IST_PUB="","",TITLE_IST_PUB),TITLE_IST_PUB_CHANGE)</f>
        <v/>
      </c>
      <c r="AH36" s="2139"/>
      <c r="AI36" s="2139"/>
      <c r="AJ36" s="2139"/>
      <c r="AK36" s="2139"/>
      <c r="AL36" s="2139"/>
      <c r="AM36" s="2139"/>
      <c r="AN36" s="2139"/>
      <c r="AO36" s="251"/>
      <c r="AP36" s="251"/>
      <c r="AQ36" s="198"/>
      <c r="AR36" s="295"/>
      <c r="AS36" s="295"/>
      <c r="AT36" s="295"/>
      <c r="AU36" s="295"/>
      <c r="AV36" s="295"/>
    </row>
    <row r="37" spans="1:48" ht="14.25" hidden="1" customHeight="1">
      <c r="R37" s="304"/>
      <c r="S37" s="304"/>
      <c r="T37" s="304"/>
      <c r="U37" s="1197"/>
      <c r="V37" s="289"/>
      <c r="W37" s="289"/>
      <c r="X37" s="245"/>
      <c r="Y37" s="245"/>
      <c r="Z37" s="245"/>
      <c r="AA37" s="245"/>
      <c r="AB37" s="245"/>
      <c r="AC37" s="245"/>
      <c r="AD37" s="245"/>
      <c r="AE37" s="245"/>
      <c r="AF37" s="245"/>
      <c r="AG37" s="245"/>
      <c r="AH37" s="245"/>
      <c r="AI37" s="245"/>
      <c r="AJ37" s="245"/>
      <c r="AK37" s="245"/>
      <c r="AL37" s="245"/>
      <c r="AM37" s="245"/>
      <c r="AN37" s="245"/>
      <c r="AO37" s="245"/>
      <c r="AP37" s="434"/>
    </row>
    <row r="38" spans="1:48" s="1887" customFormat="1" ht="18.75" hidden="1" customHeight="1">
      <c r="A38" s="1160"/>
      <c r="B38" s="1160"/>
      <c r="C38" s="1160"/>
      <c r="D38" s="1160"/>
      <c r="E38" s="1160"/>
      <c r="F38" s="1160"/>
      <c r="G38" s="1160"/>
      <c r="H38" s="1160"/>
      <c r="I38" s="1160"/>
      <c r="J38" s="1160"/>
      <c r="K38" s="1160"/>
      <c r="L38" s="1160"/>
      <c r="M38" s="1298"/>
      <c r="N38" s="1160"/>
      <c r="O38" s="1160"/>
      <c r="P38" s="1160"/>
      <c r="U38" s="2137" t="s">
        <v>395</v>
      </c>
      <c r="V38" s="2137"/>
      <c r="W38" s="1290"/>
      <c r="X38" s="2138" t="str">
        <f>IF(TITLE_DATE_PR_CHANGE="",IF(TITLE_DATE_PR="","",TITLE_DATE_PR),TITLE_DATE_PR_CHANGE)</f>
        <v/>
      </c>
      <c r="Y38" s="2138"/>
      <c r="Z38" s="2138"/>
      <c r="AA38" s="2138"/>
      <c r="AB38" s="2138"/>
      <c r="AC38" s="2138"/>
      <c r="AD38" s="2138"/>
      <c r="AE38" s="2138"/>
      <c r="AF38" s="251"/>
      <c r="AG38" s="2138" t="str">
        <f>IF(TITLE_DATE_PR_CHANGE="",IF(TITLE_DATE_PR="","",TITLE_DATE_PR),TITLE_DATE_PR_CHANGE)</f>
        <v/>
      </c>
      <c r="AH38" s="2138"/>
      <c r="AI38" s="2138"/>
      <c r="AJ38" s="2138"/>
      <c r="AK38" s="2138"/>
      <c r="AL38" s="2138"/>
      <c r="AM38" s="2138"/>
      <c r="AN38" s="2138"/>
      <c r="AO38" s="251"/>
      <c r="AP38" s="251"/>
      <c r="AQ38" s="198"/>
      <c r="AR38" s="295"/>
      <c r="AS38" s="295"/>
      <c r="AT38" s="295"/>
      <c r="AU38" s="295"/>
      <c r="AV38" s="295"/>
    </row>
    <row r="39" spans="1:48" s="1887" customFormat="1" ht="18.75" hidden="1" customHeight="1">
      <c r="A39" s="1160"/>
      <c r="B39" s="1160"/>
      <c r="C39" s="1160"/>
      <c r="D39" s="1160"/>
      <c r="E39" s="1160"/>
      <c r="F39" s="1160"/>
      <c r="G39" s="1160"/>
      <c r="H39" s="1160"/>
      <c r="I39" s="1160"/>
      <c r="J39" s="1160"/>
      <c r="K39" s="1160"/>
      <c r="L39" s="1160"/>
      <c r="M39" s="1298"/>
      <c r="N39" s="1160"/>
      <c r="O39" s="1160"/>
      <c r="P39" s="1160"/>
      <c r="U39" s="2137" t="s">
        <v>396</v>
      </c>
      <c r="V39" s="2137"/>
      <c r="W39" s="1290"/>
      <c r="X39" s="2139" t="str">
        <f>IF(TITLE_NUMBER_PR_CHANGE="",IF(TITLE_NUMBER_PR="","",TITLE_NUMBER_PR),TITLE_NUMBER_PR_CHANGE)</f>
        <v/>
      </c>
      <c r="Y39" s="2139"/>
      <c r="Z39" s="2139"/>
      <c r="AA39" s="2139"/>
      <c r="AB39" s="2139"/>
      <c r="AC39" s="2139"/>
      <c r="AD39" s="2139"/>
      <c r="AE39" s="2139"/>
      <c r="AF39" s="251"/>
      <c r="AG39" s="2139" t="str">
        <f>IF(TITLE_NUMBER_PR_CHANGE="",IF(TITLE_NUMBER_PR="","",TITLE_NUMBER_PR),TITLE_NUMBER_PR_CHANGE)</f>
        <v/>
      </c>
      <c r="AH39" s="2139"/>
      <c r="AI39" s="2139"/>
      <c r="AJ39" s="2139"/>
      <c r="AK39" s="2139"/>
      <c r="AL39" s="2139"/>
      <c r="AM39" s="2139"/>
      <c r="AN39" s="2139"/>
      <c r="AO39" s="251"/>
      <c r="AP39" s="251"/>
      <c r="AQ39" s="198"/>
      <c r="AR39" s="295"/>
      <c r="AS39" s="295"/>
      <c r="AT39" s="295"/>
      <c r="AU39" s="295"/>
      <c r="AV39" s="295"/>
    </row>
    <row r="40" spans="1:48" s="1887" customFormat="1" ht="0" hidden="1" customHeight="1">
      <c r="A40" s="1160"/>
      <c r="B40" s="1160"/>
      <c r="C40" s="1160"/>
      <c r="D40" s="1160"/>
      <c r="E40" s="1160"/>
      <c r="F40" s="1160"/>
      <c r="G40" s="1160"/>
      <c r="H40" s="1160"/>
      <c r="I40" s="1160"/>
      <c r="J40" s="1160"/>
      <c r="K40" s="1160"/>
      <c r="L40" s="1160"/>
      <c r="M40" s="1298"/>
      <c r="N40" s="1160"/>
      <c r="O40" s="1160"/>
      <c r="P40" s="1160"/>
      <c r="U40" s="247"/>
      <c r="V40" s="247"/>
      <c r="W40" s="1259"/>
      <c r="X40" s="251"/>
      <c r="Y40" s="251"/>
      <c r="Z40" s="251"/>
      <c r="AA40" s="251"/>
      <c r="AB40" s="251"/>
      <c r="AC40" s="251"/>
      <c r="AD40" s="251"/>
      <c r="AE40" s="251"/>
      <c r="AF40" s="196" t="s">
        <v>397</v>
      </c>
      <c r="AG40" s="251"/>
      <c r="AH40" s="251"/>
      <c r="AI40" s="251"/>
      <c r="AJ40" s="251"/>
      <c r="AK40" s="251"/>
      <c r="AL40" s="251"/>
      <c r="AM40" s="251"/>
      <c r="AN40" s="251"/>
      <c r="AO40" s="196" t="s">
        <v>397</v>
      </c>
      <c r="AR40" s="295"/>
      <c r="AS40" s="295"/>
      <c r="AT40" s="295"/>
      <c r="AU40" s="295"/>
      <c r="AV40" s="295"/>
    </row>
    <row r="41" spans="1:48" ht="14.25" customHeight="1">
      <c r="R41" s="304"/>
      <c r="S41" s="304"/>
      <c r="T41" s="304"/>
      <c r="U41" s="1197"/>
      <c r="V41" s="289"/>
      <c r="W41" s="1155"/>
      <c r="X41" s="2158"/>
      <c r="Y41" s="2158"/>
      <c r="Z41" s="2158"/>
      <c r="AA41" s="2158"/>
      <c r="AB41" s="2158"/>
      <c r="AC41" s="2158"/>
      <c r="AD41" s="2158"/>
      <c r="AE41" s="2158"/>
      <c r="AF41" s="2158"/>
      <c r="AG41" s="2158"/>
      <c r="AH41" s="2158"/>
      <c r="AI41" s="2158"/>
      <c r="AJ41" s="2158"/>
      <c r="AK41" s="2158"/>
      <c r="AL41" s="2158"/>
      <c r="AM41" s="2158"/>
      <c r="AN41" s="2158"/>
      <c r="AO41" s="2158"/>
    </row>
    <row r="42" spans="1:48" ht="14.25" customHeight="1">
      <c r="R42" s="304"/>
      <c r="S42" s="304"/>
      <c r="T42" s="304"/>
      <c r="U42" s="2019" t="s">
        <v>268</v>
      </c>
      <c r="V42" s="2019"/>
      <c r="W42" s="2019"/>
      <c r="X42" s="2019"/>
      <c r="Y42" s="2019"/>
      <c r="Z42" s="2019"/>
      <c r="AA42" s="2019"/>
      <c r="AB42" s="2019"/>
      <c r="AC42" s="2019"/>
      <c r="AD42" s="2019"/>
      <c r="AE42" s="2019"/>
      <c r="AF42" s="2019"/>
      <c r="AG42" s="2019"/>
      <c r="AH42" s="2019"/>
      <c r="AI42" s="2019"/>
      <c r="AJ42" s="2019"/>
      <c r="AK42" s="2019"/>
      <c r="AL42" s="2019"/>
      <c r="AM42" s="2019"/>
      <c r="AN42" s="2019"/>
      <c r="AO42" s="2019"/>
      <c r="AP42" s="2019"/>
      <c r="AQ42" s="2019" t="s">
        <v>269</v>
      </c>
    </row>
    <row r="43" spans="1:48" ht="14.25" customHeight="1">
      <c r="R43" s="304"/>
      <c r="S43" s="304"/>
      <c r="T43" s="304"/>
      <c r="U43" s="2159" t="s">
        <v>73</v>
      </c>
      <c r="V43" s="2107" t="s">
        <v>398</v>
      </c>
      <c r="W43" s="218"/>
      <c r="X43" s="2160" t="s">
        <v>399</v>
      </c>
      <c r="Y43" s="2174"/>
      <c r="Z43" s="2174"/>
      <c r="AA43" s="2174"/>
      <c r="AB43" s="2174"/>
      <c r="AC43" s="2161"/>
      <c r="AD43" s="2161"/>
      <c r="AE43" s="2162"/>
      <c r="AF43" s="2163" t="s">
        <v>400</v>
      </c>
      <c r="AG43" s="2160" t="s">
        <v>399</v>
      </c>
      <c r="AH43" s="2174"/>
      <c r="AI43" s="2174"/>
      <c r="AJ43" s="2174"/>
      <c r="AK43" s="2174"/>
      <c r="AL43" s="2161"/>
      <c r="AM43" s="2161"/>
      <c r="AN43" s="2162"/>
      <c r="AO43" s="2163" t="s">
        <v>401</v>
      </c>
      <c r="AP43" s="2166" t="s">
        <v>402</v>
      </c>
      <c r="AQ43" s="2019"/>
    </row>
    <row r="44" spans="1:48" ht="33.75" customHeight="1">
      <c r="R44" s="304"/>
      <c r="S44" s="304"/>
      <c r="T44" s="304"/>
      <c r="U44" s="2159"/>
      <c r="V44" s="2107"/>
      <c r="W44" s="940"/>
      <c r="X44" s="2077" t="s">
        <v>424</v>
      </c>
      <c r="Y44" s="2019" t="s">
        <v>425</v>
      </c>
      <c r="Z44" s="2019"/>
      <c r="AA44" s="2019"/>
      <c r="AB44" s="2019"/>
      <c r="AC44" s="2077" t="s">
        <v>406</v>
      </c>
      <c r="AD44" s="2179"/>
      <c r="AE44" s="2078"/>
      <c r="AF44" s="2164"/>
      <c r="AG44" s="2077" t="s">
        <v>424</v>
      </c>
      <c r="AH44" s="2019" t="s">
        <v>425</v>
      </c>
      <c r="AI44" s="2019"/>
      <c r="AJ44" s="2019"/>
      <c r="AK44" s="2019"/>
      <c r="AL44" s="2077" t="s">
        <v>406</v>
      </c>
      <c r="AM44" s="2179"/>
      <c r="AN44" s="2078"/>
      <c r="AO44" s="2164"/>
      <c r="AP44" s="2167"/>
      <c r="AQ44" s="2019"/>
    </row>
    <row r="45" spans="1:48" ht="14.25" customHeight="1">
      <c r="R45" s="304"/>
      <c r="S45" s="304"/>
      <c r="T45" s="304"/>
      <c r="U45" s="2159"/>
      <c r="V45" s="2107"/>
      <c r="W45" s="940"/>
      <c r="X45" s="2079"/>
      <c r="Y45" s="2113" t="s">
        <v>426</v>
      </c>
      <c r="Z45" s="2112" t="s">
        <v>427</v>
      </c>
      <c r="AA45" s="2125"/>
      <c r="AB45" s="2126"/>
      <c r="AC45" s="2082"/>
      <c r="AD45" s="2180"/>
      <c r="AE45" s="2083"/>
      <c r="AF45" s="2164"/>
      <c r="AG45" s="2079"/>
      <c r="AH45" s="2113" t="s">
        <v>426</v>
      </c>
      <c r="AI45" s="2112" t="s">
        <v>427</v>
      </c>
      <c r="AJ45" s="2125"/>
      <c r="AK45" s="2126"/>
      <c r="AL45" s="2082"/>
      <c r="AM45" s="2180"/>
      <c r="AN45" s="2083"/>
      <c r="AO45" s="2164"/>
      <c r="AP45" s="2167"/>
      <c r="AQ45" s="2019"/>
    </row>
    <row r="46" spans="1:48" ht="25.5" customHeight="1">
      <c r="R46" s="304"/>
      <c r="S46" s="304"/>
      <c r="T46" s="304"/>
      <c r="U46" s="2159"/>
      <c r="V46" s="2107"/>
      <c r="W46" s="940"/>
      <c r="X46" s="2079"/>
      <c r="Y46" s="2178"/>
      <c r="Z46" s="2113" t="s">
        <v>428</v>
      </c>
      <c r="AA46" s="2112" t="s">
        <v>429</v>
      </c>
      <c r="AB46" s="2126"/>
      <c r="AC46" s="2113" t="s">
        <v>416</v>
      </c>
      <c r="AD46" s="2117" t="s">
        <v>417</v>
      </c>
      <c r="AE46" s="2115"/>
      <c r="AF46" s="2164"/>
      <c r="AG46" s="2079"/>
      <c r="AH46" s="2178"/>
      <c r="AI46" s="2113" t="s">
        <v>428</v>
      </c>
      <c r="AJ46" s="2112" t="s">
        <v>429</v>
      </c>
      <c r="AK46" s="2126"/>
      <c r="AL46" s="2113" t="s">
        <v>416</v>
      </c>
      <c r="AM46" s="2117" t="s">
        <v>417</v>
      </c>
      <c r="AN46" s="2115"/>
      <c r="AO46" s="2164"/>
      <c r="AP46" s="2167"/>
      <c r="AQ46" s="2019"/>
    </row>
    <row r="47" spans="1:48" ht="62.25" customHeight="1">
      <c r="A47" s="1181"/>
      <c r="B47" s="1181" t="s">
        <v>117</v>
      </c>
      <c r="C47" s="1181" t="s">
        <v>118</v>
      </c>
      <c r="D47" s="1181" t="s">
        <v>119</v>
      </c>
      <c r="E47" s="1230" t="s">
        <v>407</v>
      </c>
      <c r="F47" s="1230" t="s">
        <v>408</v>
      </c>
      <c r="G47" s="1230" t="s">
        <v>409</v>
      </c>
      <c r="H47" s="1230" t="s">
        <v>410</v>
      </c>
      <c r="I47" s="1230" t="s">
        <v>411</v>
      </c>
      <c r="J47" s="1230" t="s">
        <v>412</v>
      </c>
      <c r="K47" s="1230" t="s">
        <v>413</v>
      </c>
      <c r="L47" s="1230" t="s">
        <v>430</v>
      </c>
      <c r="M47" s="1230" t="s">
        <v>388</v>
      </c>
      <c r="R47" s="304"/>
      <c r="S47" s="304"/>
      <c r="T47" s="304"/>
      <c r="U47" s="2159"/>
      <c r="V47" s="2107"/>
      <c r="W47" s="219"/>
      <c r="X47" s="2082"/>
      <c r="Y47" s="2114"/>
      <c r="Z47" s="2114"/>
      <c r="AA47" s="1130" t="s">
        <v>431</v>
      </c>
      <c r="AB47" s="1130" t="s">
        <v>432</v>
      </c>
      <c r="AC47" s="2114"/>
      <c r="AD47" s="2118"/>
      <c r="AE47" s="2116"/>
      <c r="AF47" s="2165"/>
      <c r="AG47" s="2082"/>
      <c r="AH47" s="2114"/>
      <c r="AI47" s="2114"/>
      <c r="AJ47" s="1130" t="s">
        <v>431</v>
      </c>
      <c r="AK47" s="1130" t="s">
        <v>432</v>
      </c>
      <c r="AL47" s="2114"/>
      <c r="AM47" s="2118"/>
      <c r="AN47" s="2116"/>
      <c r="AO47" s="2165"/>
      <c r="AP47" s="2168"/>
      <c r="AQ47" s="2019"/>
    </row>
    <row r="48" spans="1:48" s="1810" customFormat="1" ht="11.25" hidden="1" customHeight="1">
      <c r="A48" s="1181"/>
      <c r="B48" s="1181"/>
      <c r="C48" s="1181"/>
      <c r="D48" s="1181"/>
      <c r="E48" s="1181"/>
      <c r="F48" s="1181"/>
      <c r="G48" s="1181"/>
      <c r="H48" s="1181"/>
      <c r="I48" s="1181"/>
      <c r="J48" s="1181"/>
      <c r="K48" s="1181"/>
      <c r="L48" s="1181"/>
      <c r="M48" s="1230"/>
      <c r="N48" s="1247"/>
      <c r="O48" s="1247"/>
      <c r="P48" s="1247"/>
      <c r="Q48" s="1157"/>
      <c r="R48" s="1158"/>
      <c r="S48" s="1173">
        <v>1</v>
      </c>
      <c r="T48" s="1173"/>
      <c r="U48" s="1199" t="s">
        <v>91</v>
      </c>
      <c r="V48" s="1174" t="s">
        <v>92</v>
      </c>
      <c r="W48" s="1156" t="str">
        <f ca="1">OFFSET(W48,0,-1)</f>
        <v>2</v>
      </c>
      <c r="X48" s="1254">
        <f ca="1">OFFSET(X48,0,-1)+1</f>
        <v>3</v>
      </c>
      <c r="Y48" s="1260"/>
      <c r="Z48" s="1260"/>
      <c r="AA48" s="1260">
        <f ca="1">OFFSET(AA48,0,-1)+1</f>
        <v>1</v>
      </c>
      <c r="AB48" s="1260">
        <f ca="1">OFFSET(AB48,0,-1)+1</f>
        <v>2</v>
      </c>
      <c r="AC48" s="1254">
        <f ca="1">OFFSET(AC48,0,-1)+1</f>
        <v>3</v>
      </c>
      <c r="AD48" s="2157">
        <f ca="1">OFFSET(AD48,0,-1)+1</f>
        <v>4</v>
      </c>
      <c r="AE48" s="2157"/>
      <c r="AF48" s="1254">
        <f ca="1">OFFSET(AF48,0,-2)+1</f>
        <v>5</v>
      </c>
      <c r="AG48" s="1254">
        <f ca="1">OFFSET(AG48,0,-1)+1</f>
        <v>6</v>
      </c>
      <c r="AH48" s="1254"/>
      <c r="AI48" s="1254"/>
      <c r="AJ48" s="1254">
        <f ca="1">OFFSET(AJ48,0,-1)+1</f>
        <v>1</v>
      </c>
      <c r="AK48" s="1254">
        <f ca="1">OFFSET(AK48,0,-1)+1</f>
        <v>2</v>
      </c>
      <c r="AL48" s="1254">
        <f ca="1">OFFSET(AL48,0,-1)+1</f>
        <v>3</v>
      </c>
      <c r="AM48" s="2157">
        <f ca="1">OFFSET(AM48,0,-1)+1</f>
        <v>4</v>
      </c>
      <c r="AN48" s="2157"/>
      <c r="AO48" s="1254">
        <f ca="1">OFFSET(AO48,0,-2)+1</f>
        <v>5</v>
      </c>
      <c r="AP48" s="1156">
        <f ca="1">OFFSET(AP48,0,-1)</f>
        <v>5</v>
      </c>
      <c r="AQ48" s="1254">
        <f ca="1">OFFSET(AQ48,0,-1)+1</f>
        <v>6</v>
      </c>
      <c r="AR48" s="436"/>
      <c r="AS48" s="436"/>
      <c r="AT48" s="436"/>
      <c r="AU48" s="436"/>
      <c r="AV48" s="436"/>
    </row>
    <row r="49" spans="1:48" ht="21" customHeight="1">
      <c r="A49" s="1188" t="s">
        <v>156</v>
      </c>
      <c r="B49" s="1188"/>
      <c r="C49" s="1188"/>
      <c r="D49" s="1188"/>
      <c r="E49" s="2181">
        <v>1</v>
      </c>
      <c r="F49" s="1188"/>
      <c r="G49" s="1188"/>
      <c r="H49" s="1188"/>
      <c r="I49" s="1188"/>
      <c r="J49" s="1188"/>
      <c r="K49" s="1188"/>
      <c r="L49" s="1188"/>
      <c r="M49" s="1230"/>
      <c r="N49" s="607"/>
      <c r="O49" s="607"/>
      <c r="P49" s="607"/>
      <c r="Q49" s="285"/>
      <c r="R49" s="284"/>
      <c r="S49" s="284"/>
      <c r="T49" s="279"/>
      <c r="U49" s="1255">
        <f>INDEX(PT_DIFFERENTIATION_NUM_NTAR,MATCH(A49,PT_DIFFERENTIATION_NTAR_ID,0))</f>
        <v>0</v>
      </c>
      <c r="V49" s="215" t="s">
        <v>105</v>
      </c>
      <c r="W49" s="217"/>
      <c r="X49" s="2140"/>
      <c r="Y49" s="2141"/>
      <c r="Z49" s="2141"/>
      <c r="AA49" s="2141"/>
      <c r="AB49" s="2141"/>
      <c r="AC49" s="2141"/>
      <c r="AD49" s="2141"/>
      <c r="AE49" s="2141"/>
      <c r="AF49" s="2142"/>
      <c r="AG49" s="2140" t="str">
        <f>INDEX(PT_DIFFERENTIATION_NTAR,MATCH(A49,PT_DIFFERENTIATION_NTAR_ID,0))</f>
        <v/>
      </c>
      <c r="AH49" s="2141"/>
      <c r="AI49" s="2141"/>
      <c r="AJ49" s="2141"/>
      <c r="AK49" s="2141"/>
      <c r="AL49" s="2141"/>
      <c r="AM49" s="2141"/>
      <c r="AN49" s="2141"/>
      <c r="AO49" s="2141"/>
      <c r="AP49" s="2142"/>
      <c r="AQ49" s="11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25"/>
      <c r="AT49" s="425" t="str">
        <f t="shared" ref="AT49:AT65" si="2">IF(V49="","",V49)</f>
        <v>Наименование тарифа</v>
      </c>
      <c r="AU49" s="425"/>
      <c r="AV49" s="425"/>
    </row>
    <row r="50" spans="1:48" ht="21" customHeight="1">
      <c r="A50" s="1188" t="s">
        <v>156</v>
      </c>
      <c r="B50" s="1188" t="s">
        <v>157</v>
      </c>
      <c r="C50" s="1188"/>
      <c r="D50" s="1188"/>
      <c r="E50" s="2182"/>
      <c r="F50" s="2181">
        <v>1</v>
      </c>
      <c r="G50" s="1188"/>
      <c r="H50" s="1188"/>
      <c r="I50" s="1188"/>
      <c r="J50" s="1188"/>
      <c r="K50" s="1188"/>
      <c r="L50" s="1188"/>
      <c r="M50" s="1230"/>
      <c r="N50" s="607"/>
      <c r="O50" s="607"/>
      <c r="P50" s="607"/>
      <c r="Q50" s="1251"/>
      <c r="R50" s="276"/>
      <c r="S50" s="434"/>
      <c r="T50" s="277"/>
      <c r="U50" s="1255" t="str">
        <f>INDEX(PT_DIFFERENTIATION_NUM_TER,MATCH(B50,PT_DIFFERENTIATION_TER_ID,0))</f>
        <v>.</v>
      </c>
      <c r="V50" s="227" t="s">
        <v>367</v>
      </c>
      <c r="W50" s="217"/>
      <c r="X50" s="2140"/>
      <c r="Y50" s="2141"/>
      <c r="Z50" s="2141"/>
      <c r="AA50" s="2141"/>
      <c r="AB50" s="2141"/>
      <c r="AC50" s="2141"/>
      <c r="AD50" s="2141"/>
      <c r="AE50" s="2141"/>
      <c r="AF50" s="2142"/>
      <c r="AG50" s="2140" t="str">
        <f>INDEX(PT_DIFFERENTIATION_TER,MATCH(B50,PT_DIFFERENTIATION_TER_ID,0))</f>
        <v/>
      </c>
      <c r="AH50" s="2141"/>
      <c r="AI50" s="2141"/>
      <c r="AJ50" s="2141"/>
      <c r="AK50" s="2141"/>
      <c r="AL50" s="2141"/>
      <c r="AM50" s="2141"/>
      <c r="AN50" s="2141"/>
      <c r="AO50" s="2141"/>
      <c r="AP50" s="2142"/>
      <c r="AQ50" s="1179" t="s">
        <v>368</v>
      </c>
      <c r="AS50" s="425"/>
      <c r="AT50" s="425" t="str">
        <f t="shared" si="2"/>
        <v>Территория действия тарифа</v>
      </c>
      <c r="AU50" s="425"/>
      <c r="AV50" s="425"/>
    </row>
    <row r="51" spans="1:48" ht="22.5" customHeight="1">
      <c r="A51" s="1188" t="s">
        <v>156</v>
      </c>
      <c r="B51" s="1188" t="s">
        <v>157</v>
      </c>
      <c r="C51" s="1188" t="s">
        <v>158</v>
      </c>
      <c r="D51" s="1188"/>
      <c r="E51" s="2182"/>
      <c r="F51" s="2182"/>
      <c r="G51" s="2181">
        <v>1</v>
      </c>
      <c r="H51" s="1188"/>
      <c r="I51" s="1188"/>
      <c r="J51" s="1188"/>
      <c r="K51" s="1188"/>
      <c r="L51" s="1188"/>
      <c r="M51" s="1230"/>
      <c r="N51" s="607"/>
      <c r="O51" s="607"/>
      <c r="P51" s="607"/>
      <c r="Q51" s="278"/>
      <c r="R51" s="276"/>
      <c r="S51" s="434"/>
      <c r="T51" s="277"/>
      <c r="U51" s="1255" t="str">
        <f>INDEX(PT_DIFFERENTIATION_NUM_CS,MATCH(C51,PT_DIFFERENTIATION_CS_ID,0))</f>
        <v>..</v>
      </c>
      <c r="V51" s="228" t="s">
        <v>369</v>
      </c>
      <c r="W51" s="217"/>
      <c r="X51" s="2140"/>
      <c r="Y51" s="2141"/>
      <c r="Z51" s="2141"/>
      <c r="AA51" s="2141"/>
      <c r="AB51" s="2141"/>
      <c r="AC51" s="2141"/>
      <c r="AD51" s="2141"/>
      <c r="AE51" s="2141"/>
      <c r="AF51" s="2142"/>
      <c r="AG51" s="2140" t="str">
        <f>INDEX(PT_DIFFERENTIATION_CS,MATCH(C51,PT_DIFFERENTIATION_CS_ID,0))</f>
        <v/>
      </c>
      <c r="AH51" s="2141"/>
      <c r="AI51" s="2141"/>
      <c r="AJ51" s="2141"/>
      <c r="AK51" s="2141"/>
      <c r="AL51" s="2141"/>
      <c r="AM51" s="2141"/>
      <c r="AN51" s="2141"/>
      <c r="AO51" s="2141"/>
      <c r="AP51" s="2142"/>
      <c r="AQ51" s="1179" t="s">
        <v>370</v>
      </c>
      <c r="AS51" s="425"/>
      <c r="AT51" s="425" t="str">
        <f t="shared" si="2"/>
        <v xml:space="preserve">Наименование системы теплоснабжения </v>
      </c>
      <c r="AU51" s="425"/>
      <c r="AV51" s="425"/>
    </row>
    <row r="52" spans="1:48" ht="21" customHeight="1">
      <c r="A52" s="1188" t="s">
        <v>156</v>
      </c>
      <c r="B52" s="1188" t="s">
        <v>157</v>
      </c>
      <c r="C52" s="1188" t="s">
        <v>158</v>
      </c>
      <c r="D52" s="1188" t="s">
        <v>159</v>
      </c>
      <c r="E52" s="2182"/>
      <c r="F52" s="2182"/>
      <c r="G52" s="2182"/>
      <c r="H52" s="2181">
        <v>1</v>
      </c>
      <c r="I52" s="1188"/>
      <c r="J52" s="1188"/>
      <c r="K52" s="1188"/>
      <c r="L52" s="1188"/>
      <c r="M52" s="1230"/>
      <c r="N52" s="607"/>
      <c r="O52" s="607"/>
      <c r="P52" s="607"/>
      <c r="Q52" s="278"/>
      <c r="R52" s="276"/>
      <c r="S52" s="434"/>
      <c r="T52" s="277"/>
      <c r="U52" s="1255" t="str">
        <f>INDEX(PT_DIFFERENTIATION_NUM_IST_TE,MATCH(D52,PT_DIFFERENTIATION_IST_TE_ID,0))</f>
        <v>...</v>
      </c>
      <c r="V52" s="229" t="s">
        <v>371</v>
      </c>
      <c r="W52" s="217"/>
      <c r="X52" s="2140"/>
      <c r="Y52" s="2141"/>
      <c r="Z52" s="2141"/>
      <c r="AA52" s="2141"/>
      <c r="AB52" s="2141"/>
      <c r="AC52" s="2141"/>
      <c r="AD52" s="2141"/>
      <c r="AE52" s="2141"/>
      <c r="AF52" s="2142"/>
      <c r="AG52" s="2140" t="str">
        <f>INDEX(PT_DIFFERENTIATION_IST_TE,MATCH(D52,PT_DIFFERENTIATION_IST_TE_ID,0))</f>
        <v/>
      </c>
      <c r="AH52" s="2141"/>
      <c r="AI52" s="2141"/>
      <c r="AJ52" s="2141"/>
      <c r="AK52" s="2141"/>
      <c r="AL52" s="2141"/>
      <c r="AM52" s="2141"/>
      <c r="AN52" s="2141"/>
      <c r="AO52" s="2141"/>
      <c r="AP52" s="2142"/>
      <c r="AQ52" s="1179" t="s">
        <v>372</v>
      </c>
      <c r="AS52" s="425"/>
      <c r="AT52" s="425" t="str">
        <f t="shared" si="2"/>
        <v xml:space="preserve">Источник тепловой энергии  </v>
      </c>
      <c r="AU52" s="425"/>
      <c r="AV52" s="425"/>
    </row>
    <row r="53" spans="1:48" s="1811" customFormat="1" ht="0" hidden="1" customHeight="1">
      <c r="A53" s="1293" t="s">
        <v>156</v>
      </c>
      <c r="B53" s="1293" t="s">
        <v>157</v>
      </c>
      <c r="C53" s="1293" t="s">
        <v>158</v>
      </c>
      <c r="D53" s="1293" t="s">
        <v>159</v>
      </c>
      <c r="E53" s="2182"/>
      <c r="F53" s="2182"/>
      <c r="G53" s="2182"/>
      <c r="H53" s="2182"/>
      <c r="I53" s="2019" t="str">
        <f>U52&amp;".1"</f>
        <v>....1</v>
      </c>
      <c r="J53" s="1293"/>
      <c r="K53" s="1293"/>
      <c r="L53" s="1293"/>
      <c r="M53" s="1299" t="s">
        <v>373</v>
      </c>
      <c r="N53" s="1157"/>
      <c r="O53" s="1157"/>
      <c r="P53" s="1157"/>
      <c r="Q53" s="2150">
        <v>1</v>
      </c>
      <c r="R53" s="1250"/>
      <c r="S53" s="1250"/>
      <c r="T53" s="280"/>
      <c r="U53" s="951"/>
      <c r="V53" s="1301"/>
      <c r="W53" s="1302"/>
      <c r="X53" s="2175"/>
      <c r="Y53" s="2176"/>
      <c r="Z53" s="2176"/>
      <c r="AA53" s="2176"/>
      <c r="AB53" s="2176"/>
      <c r="AC53" s="2176"/>
      <c r="AD53" s="2176"/>
      <c r="AE53" s="2176"/>
      <c r="AF53" s="2177"/>
      <c r="AG53" s="2175"/>
      <c r="AH53" s="2176"/>
      <c r="AI53" s="2176"/>
      <c r="AJ53" s="2176"/>
      <c r="AK53" s="2176"/>
      <c r="AL53" s="2176"/>
      <c r="AM53" s="2176"/>
      <c r="AN53" s="2176"/>
      <c r="AO53" s="2176"/>
      <c r="AP53" s="2177"/>
      <c r="AQ53" s="1303"/>
      <c r="AS53" s="425"/>
      <c r="AT53" s="425" t="str">
        <f t="shared" si="2"/>
        <v/>
      </c>
      <c r="AU53" s="425"/>
      <c r="AV53" s="425"/>
    </row>
    <row r="54" spans="1:48" ht="21" customHeight="1">
      <c r="A54" s="1188" t="s">
        <v>156</v>
      </c>
      <c r="B54" s="1188" t="s">
        <v>157</v>
      </c>
      <c r="C54" s="1188" t="s">
        <v>158</v>
      </c>
      <c r="D54" s="1188" t="s">
        <v>159</v>
      </c>
      <c r="E54" s="2182"/>
      <c r="F54" s="2182"/>
      <c r="G54" s="2182"/>
      <c r="H54" s="2182"/>
      <c r="I54" s="2001"/>
      <c r="J54" s="2019" t="str">
        <f>I53&amp;".1"</f>
        <v>....1.1</v>
      </c>
      <c r="K54" s="1188"/>
      <c r="L54" s="1188"/>
      <c r="M54" s="1230" t="s">
        <v>376</v>
      </c>
      <c r="Q54" s="2150"/>
      <c r="R54" s="2150">
        <v>1</v>
      </c>
      <c r="S54" s="443"/>
      <c r="T54" s="281"/>
      <c r="U54" s="1255" t="str">
        <f>$J54</f>
        <v>....1.1</v>
      </c>
      <c r="V54" s="203" t="s">
        <v>377</v>
      </c>
      <c r="W54" s="217"/>
      <c r="X54" s="2134"/>
      <c r="Y54" s="2135"/>
      <c r="Z54" s="2135"/>
      <c r="AA54" s="2135"/>
      <c r="AB54" s="2135"/>
      <c r="AC54" s="2130"/>
      <c r="AD54" s="2130"/>
      <c r="AE54" s="2130"/>
      <c r="AF54" s="2183"/>
      <c r="AG54" s="2134"/>
      <c r="AH54" s="2135"/>
      <c r="AI54" s="2135"/>
      <c r="AJ54" s="2135"/>
      <c r="AK54" s="2135"/>
      <c r="AL54" s="2135"/>
      <c r="AM54" s="2135"/>
      <c r="AN54" s="2135"/>
      <c r="AO54" s="2135"/>
      <c r="AP54" s="2136"/>
      <c r="AQ54" s="1179" t="s">
        <v>378</v>
      </c>
      <c r="AS54" s="425"/>
      <c r="AT54" s="425" t="str">
        <f t="shared" si="2"/>
        <v>Группа потребителей</v>
      </c>
      <c r="AU54" s="425"/>
      <c r="AV54" s="425"/>
    </row>
    <row r="55" spans="1:48" ht="21" customHeight="1">
      <c r="A55" s="1188" t="s">
        <v>156</v>
      </c>
      <c r="B55" s="1188" t="s">
        <v>157</v>
      </c>
      <c r="C55" s="1188" t="s">
        <v>158</v>
      </c>
      <c r="D55" s="1188" t="s">
        <v>159</v>
      </c>
      <c r="E55" s="2182"/>
      <c r="F55" s="2182"/>
      <c r="G55" s="2182"/>
      <c r="H55" s="2182"/>
      <c r="I55" s="2001"/>
      <c r="J55" s="2001"/>
      <c r="K55" s="2019" t="str">
        <f>J54&amp;".1"</f>
        <v>....1.1.1</v>
      </c>
      <c r="L55" s="65"/>
      <c r="M55" s="1230" t="s">
        <v>379</v>
      </c>
      <c r="Q55" s="2150"/>
      <c r="R55" s="2150"/>
      <c r="S55" s="443">
        <v>1</v>
      </c>
      <c r="T55" s="281"/>
      <c r="U55" s="1255" t="str">
        <f>$K55</f>
        <v>....1.1.1</v>
      </c>
      <c r="V55" s="1266"/>
      <c r="W55" s="217"/>
      <c r="X55" s="668"/>
      <c r="Y55" s="668"/>
      <c r="Z55" s="668"/>
      <c r="AA55" s="668"/>
      <c r="AB55" s="1323"/>
      <c r="AC55" s="2151"/>
      <c r="AD55" s="2029" t="s">
        <v>50</v>
      </c>
      <c r="AE55" s="2151"/>
      <c r="AF55" s="2029" t="s">
        <v>50</v>
      </c>
      <c r="AG55" s="1325"/>
      <c r="AH55" s="668"/>
      <c r="AI55" s="668"/>
      <c r="AJ55" s="668"/>
      <c r="AK55" s="1178"/>
      <c r="AL55" s="2151"/>
      <c r="AM55" s="2029" t="s">
        <v>50</v>
      </c>
      <c r="AN55" s="2151"/>
      <c r="AO55" s="2029" t="s">
        <v>50</v>
      </c>
      <c r="AP55" s="1267"/>
      <c r="AQ55" s="1228" t="s">
        <v>421</v>
      </c>
      <c r="AR55" s="436" t="e">
        <f ca="1">STRCHECKDATE(X57:AP57)</f>
        <v>#NAME?</v>
      </c>
      <c r="AS55" s="425"/>
      <c r="AT55" s="425" t="str">
        <f t="shared" si="2"/>
        <v/>
      </c>
      <c r="AU55" s="425"/>
      <c r="AV55" s="425"/>
    </row>
    <row r="56" spans="1:48" ht="11.25" customHeight="1">
      <c r="A56" s="1188" t="s">
        <v>156</v>
      </c>
      <c r="B56" s="1188" t="s">
        <v>157</v>
      </c>
      <c r="C56" s="1188" t="s">
        <v>158</v>
      </c>
      <c r="D56" s="1188" t="s">
        <v>159</v>
      </c>
      <c r="E56" s="2182"/>
      <c r="F56" s="2182"/>
      <c r="G56" s="2182"/>
      <c r="H56" s="2182"/>
      <c r="I56" s="2001"/>
      <c r="J56" s="2001"/>
      <c r="K56" s="2001"/>
      <c r="L56" s="2019" t="str">
        <f>K55&amp;".1"</f>
        <v>....1.1.1.1</v>
      </c>
      <c r="M56" s="1230"/>
      <c r="Q56" s="2150"/>
      <c r="R56" s="2150"/>
      <c r="S56" s="443">
        <v>1</v>
      </c>
      <c r="T56" s="281"/>
      <c r="U56" s="1255" t="str">
        <f>$L56</f>
        <v>....1.1.1.1</v>
      </c>
      <c r="V56" s="1309"/>
      <c r="W56" s="217"/>
      <c r="X56" s="249"/>
      <c r="Y56" s="668"/>
      <c r="Z56" s="668"/>
      <c r="AA56" s="668"/>
      <c r="AB56" s="1323"/>
      <c r="AC56" s="2152"/>
      <c r="AD56" s="2029"/>
      <c r="AE56" s="2152"/>
      <c r="AF56" s="2029"/>
      <c r="AG56" s="1325"/>
      <c r="AH56" s="668"/>
      <c r="AI56" s="668"/>
      <c r="AJ56" s="668"/>
      <c r="AK56" s="1178"/>
      <c r="AL56" s="2152"/>
      <c r="AM56" s="2029"/>
      <c r="AN56" s="2152"/>
      <c r="AO56" s="2029"/>
      <c r="AP56" s="1267"/>
      <c r="AQ56" s="2169" t="s">
        <v>422</v>
      </c>
      <c r="AR56" s="436" t="e">
        <f ca="1">STRCHECKDATE(X58:AP58)</f>
        <v>#NAME?</v>
      </c>
      <c r="AS56" s="425"/>
      <c r="AT56" s="425" t="str">
        <f t="shared" si="2"/>
        <v/>
      </c>
      <c r="AU56" s="425"/>
      <c r="AV56" s="425"/>
    </row>
    <row r="57" spans="1:48" ht="0" hidden="1" customHeight="1">
      <c r="A57" s="1188" t="s">
        <v>156</v>
      </c>
      <c r="B57" s="1188" t="s">
        <v>157</v>
      </c>
      <c r="C57" s="1188" t="s">
        <v>158</v>
      </c>
      <c r="D57" s="1188" t="s">
        <v>159</v>
      </c>
      <c r="E57" s="2182"/>
      <c r="F57" s="2182"/>
      <c r="G57" s="2182"/>
      <c r="H57" s="2182"/>
      <c r="I57" s="2001"/>
      <c r="J57" s="2001"/>
      <c r="K57" s="2001"/>
      <c r="L57" s="2019"/>
      <c r="M57" s="1230"/>
      <c r="Q57" s="2150"/>
      <c r="R57" s="2150"/>
      <c r="S57" s="443"/>
      <c r="T57" s="281"/>
      <c r="U57" s="1261"/>
      <c r="V57" s="217"/>
      <c r="W57" s="217"/>
      <c r="X57" s="249"/>
      <c r="Y57" s="249"/>
      <c r="Z57" s="249"/>
      <c r="AA57" s="249"/>
      <c r="AB57" s="1324" t="str">
        <f>AC55&amp;"-"&amp;AE55</f>
        <v>-</v>
      </c>
      <c r="AC57" s="2152"/>
      <c r="AD57" s="2029"/>
      <c r="AE57" s="2152"/>
      <c r="AF57" s="2029"/>
      <c r="AG57" s="1300"/>
      <c r="AH57" s="249"/>
      <c r="AI57" s="249"/>
      <c r="AJ57" s="249"/>
      <c r="AK57" s="253" t="str">
        <f>AL55&amp;"-"&amp;AN55</f>
        <v>-</v>
      </c>
      <c r="AL57" s="2152"/>
      <c r="AM57" s="2029"/>
      <c r="AN57" s="2152"/>
      <c r="AO57" s="2029"/>
      <c r="AP57" s="1268"/>
      <c r="AQ57" s="2170"/>
      <c r="AS57" s="425"/>
      <c r="AT57" s="425" t="str">
        <f t="shared" si="2"/>
        <v/>
      </c>
      <c r="AU57" s="425"/>
      <c r="AV57" s="425"/>
    </row>
    <row r="58" spans="1:48" ht="11.25" customHeight="1">
      <c r="A58" s="1188" t="s">
        <v>156</v>
      </c>
      <c r="B58" s="1188" t="s">
        <v>157</v>
      </c>
      <c r="C58" s="1188" t="s">
        <v>158</v>
      </c>
      <c r="D58" s="1188" t="s">
        <v>159</v>
      </c>
      <c r="E58" s="2182"/>
      <c r="F58" s="2182"/>
      <c r="G58" s="2182"/>
      <c r="H58" s="2182"/>
      <c r="I58" s="2001"/>
      <c r="J58" s="2001"/>
      <c r="K58" s="2019"/>
      <c r="L58" s="1188"/>
      <c r="M58" s="1230"/>
      <c r="Q58" s="2150"/>
      <c r="R58" s="2150"/>
      <c r="S58" s="1250"/>
      <c r="T58" s="280"/>
      <c r="U58" s="1200"/>
      <c r="V58" s="205" t="s">
        <v>423</v>
      </c>
      <c r="W58" s="294"/>
      <c r="X58" s="294"/>
      <c r="Y58" s="294"/>
      <c r="Z58" s="294"/>
      <c r="AA58" s="294"/>
      <c r="AB58" s="294"/>
      <c r="AC58" s="2152"/>
      <c r="AD58" s="2029"/>
      <c r="AE58" s="2152"/>
      <c r="AF58" s="2029"/>
      <c r="AG58" s="294"/>
      <c r="AH58" s="294"/>
      <c r="AI58" s="294"/>
      <c r="AJ58" s="294"/>
      <c r="AK58" s="294"/>
      <c r="AL58" s="2152"/>
      <c r="AM58" s="2029"/>
      <c r="AN58" s="2152"/>
      <c r="AO58" s="2029"/>
      <c r="AP58" s="248"/>
      <c r="AQ58" s="2170"/>
      <c r="AS58" s="425"/>
      <c r="AT58" s="425" t="str">
        <f t="shared" si="2"/>
        <v>Добавить наименование поставщика</v>
      </c>
      <c r="AU58" s="425"/>
      <c r="AV58" s="425"/>
    </row>
    <row r="59" spans="1:48" ht="11.25" customHeight="1">
      <c r="A59" s="1188" t="s">
        <v>156</v>
      </c>
      <c r="B59" s="1188" t="s">
        <v>157</v>
      </c>
      <c r="C59" s="1188" t="s">
        <v>158</v>
      </c>
      <c r="D59" s="1188" t="s">
        <v>159</v>
      </c>
      <c r="E59" s="2182"/>
      <c r="F59" s="2182"/>
      <c r="G59" s="2182"/>
      <c r="H59" s="2182"/>
      <c r="I59" s="2001"/>
      <c r="J59" s="2019"/>
      <c r="K59" s="1188"/>
      <c r="L59" s="1188"/>
      <c r="M59" s="1230"/>
      <c r="Q59" s="2150"/>
      <c r="R59" s="2150"/>
      <c r="S59" s="1250"/>
      <c r="T59" s="280"/>
      <c r="U59" s="1200"/>
      <c r="V59" s="204" t="s">
        <v>381</v>
      </c>
      <c r="W59" s="294"/>
      <c r="X59" s="294"/>
      <c r="Y59" s="294"/>
      <c r="Z59" s="294"/>
      <c r="AA59" s="294"/>
      <c r="AB59" s="294"/>
      <c r="AC59" s="1326"/>
      <c r="AD59" s="1326"/>
      <c r="AE59" s="1326"/>
      <c r="AF59" s="1326"/>
      <c r="AG59" s="294"/>
      <c r="AH59" s="294"/>
      <c r="AI59" s="294"/>
      <c r="AJ59" s="294"/>
      <c r="AK59" s="294"/>
      <c r="AL59" s="294"/>
      <c r="AM59" s="294"/>
      <c r="AN59" s="294"/>
      <c r="AO59" s="294"/>
      <c r="AP59" s="248"/>
      <c r="AQ59" s="2171"/>
      <c r="AS59" s="425"/>
      <c r="AT59" s="425" t="str">
        <f t="shared" si="2"/>
        <v>Добавить вид теплоносителя (параметры теплоносителя)</v>
      </c>
      <c r="AU59" s="425"/>
      <c r="AV59" s="425"/>
    </row>
    <row r="60" spans="1:48" ht="11.25" customHeight="1">
      <c r="A60" s="1188" t="s">
        <v>156</v>
      </c>
      <c r="B60" s="1188" t="s">
        <v>157</v>
      </c>
      <c r="C60" s="1188" t="s">
        <v>158</v>
      </c>
      <c r="D60" s="1188" t="s">
        <v>159</v>
      </c>
      <c r="E60" s="2182"/>
      <c r="F60" s="2182"/>
      <c r="G60" s="2182"/>
      <c r="H60" s="2182"/>
      <c r="I60" s="2019"/>
      <c r="J60" s="1188"/>
      <c r="K60" s="1188"/>
      <c r="L60" s="1188"/>
      <c r="M60" s="1230"/>
      <c r="Q60" s="2150"/>
      <c r="R60" s="1250"/>
      <c r="S60" s="1250"/>
      <c r="T60" s="280"/>
      <c r="U60" s="1200"/>
      <c r="V60" s="291" t="s">
        <v>382</v>
      </c>
      <c r="W60" s="294"/>
      <c r="X60" s="294"/>
      <c r="Y60" s="294"/>
      <c r="Z60" s="294"/>
      <c r="AA60" s="294"/>
      <c r="AB60" s="294"/>
      <c r="AC60" s="294"/>
      <c r="AD60" s="294"/>
      <c r="AE60" s="294"/>
      <c r="AF60" s="293"/>
      <c r="AG60" s="294"/>
      <c r="AH60" s="294"/>
      <c r="AI60" s="294"/>
      <c r="AJ60" s="294"/>
      <c r="AK60" s="294"/>
      <c r="AL60" s="294"/>
      <c r="AM60" s="294"/>
      <c r="AN60" s="294"/>
      <c r="AO60" s="293"/>
      <c r="AP60" s="294"/>
      <c r="AQ60" s="220"/>
      <c r="AS60" s="425"/>
      <c r="AT60" s="425" t="str">
        <f t="shared" si="2"/>
        <v>Добавить группу потребителей</v>
      </c>
      <c r="AU60" s="425"/>
      <c r="AV60" s="425"/>
    </row>
    <row r="61" spans="1:48" ht="0" hidden="1" customHeight="1">
      <c r="A61" s="1188" t="s">
        <v>156</v>
      </c>
      <c r="B61" s="1188" t="s">
        <v>157</v>
      </c>
      <c r="C61" s="1188" t="s">
        <v>158</v>
      </c>
      <c r="D61" s="1188" t="s">
        <v>159</v>
      </c>
      <c r="E61" s="2182"/>
      <c r="F61" s="2182"/>
      <c r="G61" s="2182"/>
      <c r="H61" s="2181"/>
      <c r="I61" s="1188"/>
      <c r="J61" s="1188"/>
      <c r="K61" s="1188"/>
      <c r="L61" s="1188"/>
      <c r="M61" s="1230"/>
      <c r="N61" s="607"/>
      <c r="O61" s="607"/>
      <c r="P61" s="434"/>
      <c r="Q61" s="284"/>
      <c r="R61" s="303"/>
      <c r="S61" s="279"/>
      <c r="T61" s="284"/>
      <c r="U61" s="1304"/>
      <c r="V61" s="1305"/>
      <c r="W61" s="1306"/>
      <c r="X61" s="1306"/>
      <c r="Y61" s="1306"/>
      <c r="Z61" s="1306"/>
      <c r="AA61" s="1306"/>
      <c r="AB61" s="1306"/>
      <c r="AC61" s="1306"/>
      <c r="AD61" s="1306"/>
      <c r="AE61" s="1306"/>
      <c r="AF61" s="1306"/>
      <c r="AG61" s="1306"/>
      <c r="AH61" s="1306"/>
      <c r="AI61" s="1306"/>
      <c r="AJ61" s="1306"/>
      <c r="AK61" s="1306"/>
      <c r="AL61" s="1306"/>
      <c r="AM61" s="1306"/>
      <c r="AN61" s="1306"/>
      <c r="AO61" s="1306"/>
      <c r="AP61" s="1306"/>
      <c r="AQ61" s="1307"/>
      <c r="AS61" s="425"/>
      <c r="AT61" s="425" t="str">
        <f t="shared" si="2"/>
        <v/>
      </c>
      <c r="AU61" s="425"/>
      <c r="AV61" s="425"/>
    </row>
    <row r="62" spans="1:48" s="1881" customFormat="1" ht="0" hidden="1" customHeight="1">
      <c r="A62" s="1293" t="s">
        <v>156</v>
      </c>
      <c r="B62" s="1293" t="s">
        <v>157</v>
      </c>
      <c r="C62" s="1293" t="s">
        <v>158</v>
      </c>
      <c r="D62" s="1292"/>
      <c r="E62" s="2182"/>
      <c r="F62" s="2182"/>
      <c r="G62" s="2181"/>
      <c r="H62" s="1292"/>
      <c r="I62" s="1292"/>
      <c r="J62" s="1292"/>
      <c r="K62" s="1292"/>
      <c r="L62" s="1292"/>
      <c r="M62" s="1295"/>
      <c r="N62" s="1296"/>
      <c r="O62" s="1296"/>
      <c r="P62" s="275"/>
      <c r="Q62" s="1236"/>
      <c r="R62" s="1237"/>
      <c r="S62" s="1236"/>
      <c r="T62" s="1236"/>
      <c r="U62" s="1242"/>
      <c r="V62" s="1245" t="s">
        <v>384</v>
      </c>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S62" s="707"/>
      <c r="AT62" s="707" t="str">
        <f t="shared" si="2"/>
        <v>Добавить источник для дифференциации</v>
      </c>
      <c r="AU62" s="707"/>
      <c r="AV62" s="707"/>
    </row>
    <row r="63" spans="1:48" s="1881" customFormat="1" ht="0" hidden="1" customHeight="1">
      <c r="A63" s="1293" t="s">
        <v>156</v>
      </c>
      <c r="B63" s="1293" t="s">
        <v>157</v>
      </c>
      <c r="C63" s="1292"/>
      <c r="D63" s="1292"/>
      <c r="E63" s="2182"/>
      <c r="F63" s="2181"/>
      <c r="G63" s="1292"/>
      <c r="H63" s="1292"/>
      <c r="I63" s="1292"/>
      <c r="J63" s="1292"/>
      <c r="K63" s="1292"/>
      <c r="L63" s="1292"/>
      <c r="M63" s="1295"/>
      <c r="N63" s="1297"/>
      <c r="O63" s="1297"/>
      <c r="P63" s="275"/>
      <c r="Q63" s="1236"/>
      <c r="R63" s="1237"/>
      <c r="S63" s="1236"/>
      <c r="T63" s="1236"/>
      <c r="U63" s="1242"/>
      <c r="V63" s="1245" t="s">
        <v>385</v>
      </c>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S63" s="707"/>
      <c r="AT63" s="707" t="str">
        <f t="shared" si="2"/>
        <v>Добавить централизованную систему для дифференциации</v>
      </c>
      <c r="AU63" s="707"/>
      <c r="AV63" s="707"/>
    </row>
    <row r="64" spans="1:48" s="1811" customFormat="1" ht="0" hidden="1" customHeight="1">
      <c r="A64" s="1293" t="s">
        <v>156</v>
      </c>
      <c r="B64" s="1293"/>
      <c r="C64" s="1293"/>
      <c r="D64" s="1293"/>
      <c r="E64" s="2181"/>
      <c r="F64" s="1293"/>
      <c r="G64" s="1293"/>
      <c r="H64" s="1293"/>
      <c r="I64" s="1293"/>
      <c r="J64" s="1293"/>
      <c r="K64" s="1293"/>
      <c r="L64" s="1293"/>
      <c r="M64" s="1299"/>
      <c r="N64" s="1297"/>
      <c r="O64" s="1297"/>
      <c r="P64" s="275"/>
      <c r="Q64" s="312"/>
      <c r="R64" s="1263"/>
      <c r="S64" s="312"/>
      <c r="T64" s="312"/>
      <c r="U64" s="1242"/>
      <c r="V64" s="1245" t="s">
        <v>386</v>
      </c>
      <c r="W64" s="1244"/>
      <c r="X64" s="1244"/>
      <c r="Y64" s="1244"/>
      <c r="Z64" s="1244"/>
      <c r="AA64" s="1244"/>
      <c r="AB64" s="1244"/>
      <c r="AC64" s="1244"/>
      <c r="AD64" s="1244"/>
      <c r="AE64" s="1244"/>
      <c r="AF64" s="1244"/>
      <c r="AG64" s="1244"/>
      <c r="AH64" s="1244"/>
      <c r="AI64" s="1244"/>
      <c r="AJ64" s="1244"/>
      <c r="AK64" s="1244"/>
      <c r="AL64" s="1244"/>
      <c r="AM64" s="1244"/>
      <c r="AN64" s="1244"/>
      <c r="AO64" s="1244"/>
      <c r="AP64" s="1244"/>
      <c r="AQ64" s="1244"/>
      <c r="AS64" s="425"/>
      <c r="AT64" s="425" t="str">
        <f t="shared" si="2"/>
        <v>Добавить территорию для дифференциации</v>
      </c>
      <c r="AU64" s="425"/>
      <c r="AV64" s="425"/>
    </row>
    <row r="65" spans="1:48" s="1881" customFormat="1" ht="5.25" customHeight="1">
      <c r="A65" s="1292"/>
      <c r="B65" s="1292"/>
      <c r="C65" s="1292"/>
      <c r="D65" s="1292"/>
      <c r="E65" s="1293"/>
      <c r="F65" s="1292"/>
      <c r="G65" s="1292"/>
      <c r="H65" s="1292"/>
      <c r="I65" s="1292"/>
      <c r="J65" s="1292"/>
      <c r="K65" s="1292"/>
      <c r="L65" s="1292"/>
      <c r="M65" s="1295"/>
      <c r="N65" s="1297"/>
      <c r="O65" s="1297"/>
      <c r="P65" s="275"/>
      <c r="Q65" s="1236"/>
      <c r="R65" s="1237"/>
      <c r="S65" s="1236"/>
      <c r="T65" s="1236"/>
      <c r="U65" s="1242"/>
      <c r="V65" s="1245" t="s">
        <v>418</v>
      </c>
      <c r="W65" s="1244"/>
      <c r="X65" s="1244"/>
      <c r="Y65" s="1244"/>
      <c r="Z65" s="1244"/>
      <c r="AA65" s="1244"/>
      <c r="AB65" s="1244"/>
      <c r="AC65" s="1244"/>
      <c r="AD65" s="1244"/>
      <c r="AE65" s="1244"/>
      <c r="AF65" s="1244"/>
      <c r="AG65" s="1244"/>
      <c r="AH65" s="1244"/>
      <c r="AI65" s="1244"/>
      <c r="AJ65" s="1244"/>
      <c r="AK65" s="1244"/>
      <c r="AL65" s="1244"/>
      <c r="AM65" s="1244"/>
      <c r="AN65" s="1244"/>
      <c r="AO65" s="1244"/>
      <c r="AP65" s="1244"/>
      <c r="AQ65" s="1244"/>
      <c r="AS65" s="707"/>
      <c r="AT65" s="707" t="str">
        <f t="shared" si="2"/>
        <v>Добавить наименование тарифа</v>
      </c>
      <c r="AU65" s="707"/>
      <c r="AV65" s="707"/>
    </row>
    <row r="66" spans="1:48" ht="11.25" customHeight="1">
      <c r="N66" s="1057"/>
      <c r="O66" s="1057"/>
      <c r="P66" s="434"/>
      <c r="Q66" s="1057"/>
      <c r="R66" s="1057"/>
      <c r="S66" s="1057"/>
      <c r="T66" s="1057"/>
      <c r="U66" s="1057"/>
      <c r="AR66" s="1057"/>
      <c r="AS66" s="1057"/>
      <c r="AT66" s="1057"/>
      <c r="AU66" s="1057"/>
      <c r="AV66" s="1057"/>
    </row>
    <row r="67" spans="1:48" ht="33.75" customHeight="1">
      <c r="P67" s="434"/>
      <c r="U67" s="1166"/>
      <c r="V67" s="2145"/>
      <c r="W67" s="2145"/>
      <c r="X67" s="2145"/>
      <c r="Y67" s="2145"/>
      <c r="Z67" s="2145"/>
      <c r="AA67" s="2145"/>
      <c r="AB67" s="2145"/>
      <c r="AC67" s="2145"/>
      <c r="AD67" s="2145"/>
      <c r="AE67" s="2145"/>
      <c r="AF67" s="2145"/>
      <c r="AG67" s="2145"/>
      <c r="AH67" s="2145"/>
      <c r="AI67" s="2145"/>
      <c r="AJ67" s="2145"/>
      <c r="AK67" s="2145"/>
      <c r="AL67" s="2145"/>
      <c r="AM67" s="2145"/>
      <c r="AN67" s="2145"/>
      <c r="AO67" s="2145"/>
      <c r="AP67" s="2145"/>
      <c r="AQ67" s="2145"/>
    </row>
    <row r="68" spans="1:48" ht="19.5" customHeight="1">
      <c r="P68" s="434"/>
      <c r="V68" s="2145"/>
      <c r="W68" s="2145"/>
      <c r="X68" s="2145"/>
      <c r="Y68" s="2145"/>
      <c r="Z68" s="2145"/>
      <c r="AA68" s="2145"/>
      <c r="AB68" s="2145"/>
      <c r="AC68" s="2145"/>
      <c r="AD68" s="2145"/>
      <c r="AE68" s="2145"/>
      <c r="AF68" s="2145"/>
      <c r="AG68" s="2145"/>
      <c r="AH68" s="2145"/>
      <c r="AI68" s="2145"/>
      <c r="AJ68" s="2145"/>
      <c r="AK68" s="2145"/>
      <c r="AL68" s="2145"/>
      <c r="AM68" s="2145"/>
      <c r="AN68" s="2145"/>
      <c r="AO68" s="2145"/>
      <c r="AP68" s="2145"/>
      <c r="AQ68" s="2145"/>
    </row>
    <row r="69" spans="1:48" ht="14.25" customHeight="1">
      <c r="P69" s="434"/>
    </row>
    <row r="70" spans="1:48" ht="27" customHeight="1">
      <c r="P70" s="434"/>
      <c r="V70" s="2145"/>
      <c r="W70" s="2145"/>
      <c r="X70" s="2145"/>
      <c r="Y70" s="2145"/>
      <c r="Z70" s="2145"/>
      <c r="AA70" s="2145"/>
      <c r="AB70" s="2145"/>
      <c r="AC70" s="2145"/>
      <c r="AD70" s="2145"/>
      <c r="AE70" s="2145"/>
      <c r="AF70" s="2145"/>
      <c r="AG70" s="2145"/>
      <c r="AH70" s="2145"/>
      <c r="AI70" s="2145"/>
      <c r="AJ70" s="2145"/>
      <c r="AK70" s="2145"/>
      <c r="AL70" s="2145"/>
      <c r="AM70" s="2145"/>
      <c r="AN70" s="2145"/>
      <c r="AO70" s="2145"/>
      <c r="AP70" s="2145"/>
      <c r="AQ70" s="2145"/>
    </row>
    <row r="71" spans="1:48" ht="18" customHeight="1">
      <c r="P71" s="434"/>
      <c r="V71" s="2145"/>
      <c r="W71" s="2145"/>
      <c r="X71" s="2145"/>
      <c r="Y71" s="2145"/>
      <c r="Z71" s="2145"/>
      <c r="AA71" s="2145"/>
      <c r="AB71" s="2145"/>
      <c r="AC71" s="2145"/>
      <c r="AD71" s="2145"/>
      <c r="AE71" s="2145"/>
      <c r="AF71" s="2145"/>
      <c r="AG71" s="2145"/>
      <c r="AH71" s="2145"/>
      <c r="AI71" s="2145"/>
      <c r="AJ71" s="2145"/>
      <c r="AK71" s="2145"/>
      <c r="AL71" s="2145"/>
      <c r="AM71" s="2145"/>
      <c r="AN71" s="2145"/>
      <c r="AO71" s="2145"/>
      <c r="AP71" s="2145"/>
      <c r="AQ71" s="2145"/>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Z69"/>
  <sheetViews>
    <sheetView showGridLines="0" topLeftCell="R26"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3" width="21.7109375" style="1856" hidden="1" customWidth="1"/>
    <col min="24" max="24" width="11.7109375" style="1856" hidden="1" customWidth="1"/>
    <col min="25" max="25" width="3.7109375" style="1856" hidden="1" customWidth="1"/>
    <col min="26" max="26" width="11.7109375" style="1856" hidden="1" customWidth="1"/>
    <col min="27" max="27" width="8.5703125" style="1856" hidden="1" customWidth="1"/>
    <col min="28" max="28" width="5.42578125" style="1856" customWidth="1"/>
    <col min="29" max="30" width="3.7109375" style="1856" customWidth="1"/>
    <col min="31" max="31" width="24.7109375" style="1856" customWidth="1"/>
    <col min="32" max="34" width="3.7109375" style="1856" customWidth="1"/>
    <col min="35" max="35" width="24.7109375" style="1856" customWidth="1"/>
    <col min="36" max="38" width="3.7109375" style="1856" customWidth="1"/>
    <col min="39" max="39" width="18.85546875" style="1856" customWidth="1"/>
    <col min="40" max="41" width="21.7109375" style="1856" customWidth="1"/>
    <col min="42" max="42" width="11.7109375" style="1856" customWidth="1"/>
    <col min="43" max="43" width="3.7109375" style="1856" customWidth="1"/>
    <col min="44" max="44" width="11.7109375" style="1856" customWidth="1"/>
    <col min="45" max="45" width="8.5703125" style="1856" customWidth="1"/>
    <col min="46" max="46" width="4.7109375" style="1856" customWidth="1"/>
    <col min="47" max="47" width="115.7109375" style="1856" customWidth="1"/>
    <col min="48" max="49" width="10.5703125" style="1811"/>
    <col min="50" max="50" width="11.140625" style="1811" customWidth="1"/>
    <col min="51" max="52" width="10.5703125" style="1811"/>
  </cols>
  <sheetData>
    <row r="1" spans="1:52" ht="14.25" hidden="1" customHeight="1">
      <c r="W1" s="252"/>
      <c r="X1" s="252"/>
      <c r="AO1" s="252"/>
      <c r="AP1" s="252"/>
    </row>
    <row r="2" spans="1:52" ht="21" hidden="1" customHeight="1">
      <c r="A2" s="1281"/>
      <c r="B2" s="1281"/>
      <c r="C2" s="1281"/>
      <c r="D2" s="1281"/>
      <c r="E2" s="2146">
        <v>1</v>
      </c>
      <c r="F2" s="1281"/>
      <c r="G2" s="1281"/>
      <c r="H2" s="1281"/>
      <c r="I2" s="1281"/>
      <c r="J2" s="1281"/>
      <c r="K2" s="1281"/>
      <c r="L2" s="1282"/>
      <c r="M2" s="1283"/>
      <c r="N2" s="1283"/>
      <c r="O2" s="1283"/>
      <c r="P2" s="1327"/>
      <c r="Q2" s="787"/>
      <c r="R2" s="279"/>
      <c r="S2" s="1255" t="e">
        <f>INDEX(PT_DIFFERENTIATION_NUM_NTAR,MATCH(A2,PT_DIFFERENTIATION_NTAR_ID,0))</f>
        <v>#N/A</v>
      </c>
      <c r="T2" s="215" t="s">
        <v>105</v>
      </c>
      <c r="U2" s="217"/>
      <c r="V2" s="2141"/>
      <c r="W2" s="2141"/>
      <c r="X2" s="2141"/>
      <c r="Y2" s="2141"/>
      <c r="Z2" s="2141"/>
      <c r="AA2" s="2142"/>
      <c r="AB2" s="2140" t="e">
        <f>INDEX(PT_DIFFERENTIATION_NTAR,MATCH(A2,PT_DIFFERENTIATION_NTAR_ID,0))</f>
        <v>#N/A</v>
      </c>
      <c r="AC2" s="2141"/>
      <c r="AD2" s="2141"/>
      <c r="AE2" s="2141"/>
      <c r="AF2" s="2141"/>
      <c r="AG2" s="2141"/>
      <c r="AH2" s="2141"/>
      <c r="AI2" s="2141"/>
      <c r="AJ2" s="2141"/>
      <c r="AK2" s="2141"/>
      <c r="AL2" s="2141"/>
      <c r="AM2" s="2141"/>
      <c r="AN2" s="2141"/>
      <c r="AO2" s="2141"/>
      <c r="AP2" s="2141"/>
      <c r="AQ2" s="2141"/>
      <c r="AR2" s="2141"/>
      <c r="AS2" s="2141"/>
      <c r="AT2" s="2142"/>
      <c r="AU2" s="1179" t="s">
        <v>366</v>
      </c>
      <c r="AW2" s="425"/>
      <c r="AX2" s="425" t="str">
        <f t="shared" ref="AX2:AX8" si="0">IF(T2="","",T2)</f>
        <v>Наименование тарифа</v>
      </c>
      <c r="AY2" s="425"/>
      <c r="AZ2" s="425"/>
    </row>
    <row r="3" spans="1:52" ht="21" hidden="1" customHeight="1">
      <c r="A3" s="1281"/>
      <c r="B3" s="1281"/>
      <c r="C3" s="1281"/>
      <c r="D3" s="1281"/>
      <c r="E3" s="2147"/>
      <c r="F3" s="2146">
        <v>1</v>
      </c>
      <c r="G3" s="1281"/>
      <c r="H3" s="1281"/>
      <c r="I3" s="1281"/>
      <c r="J3" s="1281"/>
      <c r="K3" s="1281"/>
      <c r="L3" s="1282"/>
      <c r="M3" s="1283"/>
      <c r="N3" s="1283"/>
      <c r="O3" s="1283"/>
      <c r="P3" s="1328"/>
      <c r="Q3" s="1329"/>
      <c r="R3" s="277"/>
      <c r="S3" s="1255" t="e">
        <f>INDEX(PT_DIFFERENTIATION_NUM_TER,MATCH(B3,PT_DIFFERENTIATION_TER_ID,0))</f>
        <v>#N/A</v>
      </c>
      <c r="T3" s="227" t="s">
        <v>367</v>
      </c>
      <c r="U3" s="217"/>
      <c r="V3" s="2141"/>
      <c r="W3" s="2141"/>
      <c r="X3" s="2141"/>
      <c r="Y3" s="2141"/>
      <c r="Z3" s="2141"/>
      <c r="AA3" s="2142"/>
      <c r="AB3" s="2140" t="e">
        <f>INDEX(PT_DIFFERENTIATION_TER,MATCH(B3,PT_DIFFERENTIATION_TER_ID,0))</f>
        <v>#N/A</v>
      </c>
      <c r="AC3" s="2141"/>
      <c r="AD3" s="2141"/>
      <c r="AE3" s="2141"/>
      <c r="AF3" s="2141"/>
      <c r="AG3" s="2141"/>
      <c r="AH3" s="2141"/>
      <c r="AI3" s="2141"/>
      <c r="AJ3" s="2141"/>
      <c r="AK3" s="2141"/>
      <c r="AL3" s="2141"/>
      <c r="AM3" s="2141"/>
      <c r="AN3" s="2141"/>
      <c r="AO3" s="2141"/>
      <c r="AP3" s="2141"/>
      <c r="AQ3" s="2141"/>
      <c r="AR3" s="2141"/>
      <c r="AS3" s="2141"/>
      <c r="AT3" s="2142"/>
      <c r="AU3" s="1179" t="s">
        <v>368</v>
      </c>
      <c r="AW3" s="425"/>
      <c r="AX3" s="425" t="str">
        <f t="shared" si="0"/>
        <v>Территория действия тарифа</v>
      </c>
      <c r="AY3" s="425"/>
      <c r="AZ3" s="425"/>
    </row>
    <row r="4" spans="1:52" ht="22.5" hidden="1" customHeight="1">
      <c r="A4" s="1281"/>
      <c r="B4" s="1281"/>
      <c r="C4" s="1281"/>
      <c r="D4" s="1281"/>
      <c r="E4" s="2147"/>
      <c r="F4" s="2147"/>
      <c r="G4" s="2146">
        <v>1</v>
      </c>
      <c r="H4" s="1281"/>
      <c r="I4" s="1281"/>
      <c r="J4" s="1281"/>
      <c r="K4" s="1281"/>
      <c r="L4" s="1282"/>
      <c r="M4" s="1283"/>
      <c r="N4" s="1283"/>
      <c r="O4" s="1283"/>
      <c r="P4" s="1330"/>
      <c r="Q4" s="1329"/>
      <c r="R4" s="277"/>
      <c r="S4" s="1255" t="e">
        <f>INDEX(PT_DIFFERENTIATION_NUM_CS,MATCH(C4,PT_DIFFERENTIATION_CS_ID,0))</f>
        <v>#N/A</v>
      </c>
      <c r="T4" s="228" t="s">
        <v>369</v>
      </c>
      <c r="U4" s="217"/>
      <c r="V4" s="2141"/>
      <c r="W4" s="2141"/>
      <c r="X4" s="2141"/>
      <c r="Y4" s="2141"/>
      <c r="Z4" s="2141"/>
      <c r="AA4" s="2142"/>
      <c r="AB4" s="2140" t="e">
        <f>INDEX(PT_DIFFERENTIATION_CS,MATCH(C4,PT_DIFFERENTIATION_CS_ID,0))</f>
        <v>#N/A</v>
      </c>
      <c r="AC4" s="2141"/>
      <c r="AD4" s="2141"/>
      <c r="AE4" s="2141"/>
      <c r="AF4" s="2141"/>
      <c r="AG4" s="2141"/>
      <c r="AH4" s="2141"/>
      <c r="AI4" s="2141"/>
      <c r="AJ4" s="2141"/>
      <c r="AK4" s="2141"/>
      <c r="AL4" s="2141"/>
      <c r="AM4" s="2141"/>
      <c r="AN4" s="2141"/>
      <c r="AO4" s="2141"/>
      <c r="AP4" s="2141"/>
      <c r="AQ4" s="2141"/>
      <c r="AR4" s="2141"/>
      <c r="AS4" s="2141"/>
      <c r="AT4" s="2142"/>
      <c r="AU4" s="1179" t="s">
        <v>370</v>
      </c>
      <c r="AW4" s="425"/>
      <c r="AX4" s="425" t="str">
        <f t="shared" si="0"/>
        <v xml:space="preserve">Наименование системы теплоснабжения </v>
      </c>
      <c r="AY4" s="425"/>
      <c r="AZ4" s="425"/>
    </row>
    <row r="5" spans="1:52" ht="21" hidden="1" customHeight="1">
      <c r="A5" s="1281"/>
      <c r="B5" s="1281"/>
      <c r="C5" s="1281"/>
      <c r="D5" s="1281"/>
      <c r="E5" s="2147"/>
      <c r="F5" s="2147"/>
      <c r="G5" s="2147"/>
      <c r="H5" s="2146">
        <v>1</v>
      </c>
      <c r="I5" s="1281"/>
      <c r="J5" s="1281"/>
      <c r="K5" s="1281"/>
      <c r="L5" s="1282"/>
      <c r="M5" s="1283"/>
      <c r="N5" s="1283"/>
      <c r="O5" s="1283"/>
      <c r="P5" s="1330"/>
      <c r="Q5" s="1329"/>
      <c r="R5" s="277"/>
      <c r="S5" s="1255" t="e">
        <f>INDEX(PT_DIFFERENTIATION_NUM_IST_TE,MATCH(D5,PT_DIFFERENTIATION_IST_TE_ID,0))</f>
        <v>#N/A</v>
      </c>
      <c r="T5" s="229" t="s">
        <v>371</v>
      </c>
      <c r="U5" s="217"/>
      <c r="V5" s="2141"/>
      <c r="W5" s="2141"/>
      <c r="X5" s="2141"/>
      <c r="Y5" s="2141"/>
      <c r="Z5" s="2141"/>
      <c r="AA5" s="2142"/>
      <c r="AB5" s="2140" t="e">
        <f>INDEX(PT_DIFFERENTIATION_IST_TE,MATCH(D5,PT_DIFFERENTIATION_IST_TE_ID,0))</f>
        <v>#N/A</v>
      </c>
      <c r="AC5" s="2141"/>
      <c r="AD5" s="2141"/>
      <c r="AE5" s="2141"/>
      <c r="AF5" s="2141"/>
      <c r="AG5" s="2141"/>
      <c r="AH5" s="2141"/>
      <c r="AI5" s="2141"/>
      <c r="AJ5" s="2141"/>
      <c r="AK5" s="2141"/>
      <c r="AL5" s="2141"/>
      <c r="AM5" s="2141"/>
      <c r="AN5" s="2141"/>
      <c r="AO5" s="2141"/>
      <c r="AP5" s="2141"/>
      <c r="AQ5" s="2141"/>
      <c r="AR5" s="2141"/>
      <c r="AS5" s="2141"/>
      <c r="AT5" s="2142"/>
      <c r="AU5" s="1179" t="s">
        <v>372</v>
      </c>
      <c r="AW5" s="425"/>
      <c r="AX5" s="425" t="str">
        <f t="shared" si="0"/>
        <v xml:space="preserve">Источник тепловой энергии  </v>
      </c>
      <c r="AY5" s="425"/>
      <c r="AZ5" s="425"/>
    </row>
    <row r="6" spans="1:52" s="1811" customFormat="1" ht="14.25" hidden="1" customHeight="1">
      <c r="A6" s="1262"/>
      <c r="B6" s="1262"/>
      <c r="C6" s="1262"/>
      <c r="D6" s="1262"/>
      <c r="E6" s="2147"/>
      <c r="F6" s="2147"/>
      <c r="G6" s="2147"/>
      <c r="H6" s="2147"/>
      <c r="I6" s="2148" t="e">
        <f>S5&amp;".1"</f>
        <v>#N/A</v>
      </c>
      <c r="J6" s="1262"/>
      <c r="K6" s="1262"/>
      <c r="L6" s="1265" t="s">
        <v>373</v>
      </c>
      <c r="M6" s="435"/>
      <c r="N6" s="435"/>
      <c r="O6" s="435"/>
      <c r="P6" s="2150">
        <v>1</v>
      </c>
      <c r="Q6" s="1250"/>
      <c r="R6" s="280"/>
      <c r="S6" s="951"/>
      <c r="T6" s="1301"/>
      <c r="U6" s="1302"/>
      <c r="V6" s="2176"/>
      <c r="W6" s="2176"/>
      <c r="X6" s="2176"/>
      <c r="Y6" s="2176"/>
      <c r="Z6" s="2176"/>
      <c r="AA6" s="2177"/>
      <c r="AB6" s="2175"/>
      <c r="AC6" s="2176"/>
      <c r="AD6" s="2176"/>
      <c r="AE6" s="2176"/>
      <c r="AF6" s="2176"/>
      <c r="AG6" s="2176"/>
      <c r="AH6" s="2176"/>
      <c r="AI6" s="2176"/>
      <c r="AJ6" s="2176"/>
      <c r="AK6" s="2176"/>
      <c r="AL6" s="2176"/>
      <c r="AM6" s="2176"/>
      <c r="AN6" s="2176"/>
      <c r="AO6" s="2176"/>
      <c r="AP6" s="2176"/>
      <c r="AQ6" s="2176"/>
      <c r="AR6" s="2176"/>
      <c r="AS6" s="2176"/>
      <c r="AT6" s="2177"/>
      <c r="AU6" s="1303"/>
      <c r="AW6" s="425"/>
      <c r="AX6" s="425" t="str">
        <f t="shared" si="0"/>
        <v/>
      </c>
      <c r="AY6" s="425"/>
      <c r="AZ6" s="425"/>
    </row>
    <row r="7" spans="1:52" s="1811" customFormat="1" ht="14.25" hidden="1" customHeight="1">
      <c r="A7" s="1262"/>
      <c r="B7" s="1262"/>
      <c r="C7" s="1262"/>
      <c r="D7" s="1262"/>
      <c r="E7" s="2147"/>
      <c r="F7" s="2147"/>
      <c r="G7" s="2147"/>
      <c r="H7" s="2147"/>
      <c r="I7" s="2149"/>
      <c r="J7" s="2148" t="e">
        <f>S5&amp;".1"</f>
        <v>#N/A</v>
      </c>
      <c r="K7" s="1262"/>
      <c r="L7" s="1265"/>
      <c r="M7" s="435"/>
      <c r="N7" s="435"/>
      <c r="O7" s="435"/>
      <c r="P7" s="2150"/>
      <c r="Q7" s="2150">
        <v>1</v>
      </c>
      <c r="R7" s="281"/>
      <c r="S7" s="951"/>
      <c r="T7" s="1317"/>
      <c r="U7" s="1302"/>
      <c r="V7" s="2176"/>
      <c r="W7" s="2176"/>
      <c r="X7" s="2176"/>
      <c r="Y7" s="2176"/>
      <c r="Z7" s="2176"/>
      <c r="AA7" s="2177"/>
      <c r="AB7" s="2175"/>
      <c r="AC7" s="2176"/>
      <c r="AD7" s="2176"/>
      <c r="AE7" s="2176"/>
      <c r="AF7" s="2176"/>
      <c r="AG7" s="2176"/>
      <c r="AH7" s="2176"/>
      <c r="AI7" s="2176"/>
      <c r="AJ7" s="2176"/>
      <c r="AK7" s="2176"/>
      <c r="AL7" s="2176"/>
      <c r="AM7" s="2176"/>
      <c r="AN7" s="2176"/>
      <c r="AO7" s="2176"/>
      <c r="AP7" s="2176"/>
      <c r="AQ7" s="2176"/>
      <c r="AR7" s="2176"/>
      <c r="AS7" s="2176"/>
      <c r="AT7" s="2177"/>
      <c r="AU7" s="1303"/>
      <c r="AW7" s="425"/>
      <c r="AX7" s="425" t="str">
        <f t="shared" si="0"/>
        <v/>
      </c>
      <c r="AY7" s="425"/>
      <c r="AZ7" s="425"/>
    </row>
    <row r="8" spans="1:52" ht="21" hidden="1" customHeight="1">
      <c r="A8" s="1281"/>
      <c r="B8" s="1281"/>
      <c r="C8" s="1281"/>
      <c r="D8" s="1281"/>
      <c r="E8" s="2147"/>
      <c r="F8" s="2147"/>
      <c r="G8" s="2147"/>
      <c r="H8" s="2147"/>
      <c r="I8" s="2149"/>
      <c r="J8" s="2149"/>
      <c r="K8" s="2148" t="e">
        <f>S5&amp;".1"</f>
        <v>#N/A</v>
      </c>
      <c r="L8" s="1282"/>
      <c r="P8" s="2150"/>
      <c r="Q8" s="2150"/>
      <c r="R8" s="2199">
        <v>1</v>
      </c>
      <c r="S8" s="2196" t="e">
        <f>$K8</f>
        <v>#N/A</v>
      </c>
      <c r="T8" s="2193"/>
      <c r="U8" s="217"/>
      <c r="V8" s="668"/>
      <c r="W8" s="1178"/>
      <c r="X8" s="2151"/>
      <c r="Y8" s="2029" t="s">
        <v>50</v>
      </c>
      <c r="Z8" s="2151"/>
      <c r="AA8" s="2029" t="s">
        <v>50</v>
      </c>
      <c r="AB8" s="2029" t="s">
        <v>48</v>
      </c>
      <c r="AC8" s="2192"/>
      <c r="AD8" s="2102">
        <v>1</v>
      </c>
      <c r="AE8" s="2205"/>
      <c r="AF8" s="2029" t="s">
        <v>48</v>
      </c>
      <c r="AG8" s="2192"/>
      <c r="AH8" s="2102">
        <v>1</v>
      </c>
      <c r="AI8" s="2205"/>
      <c r="AJ8" s="2029" t="s">
        <v>48</v>
      </c>
      <c r="AK8" s="230"/>
      <c r="AL8" s="1256">
        <v>1</v>
      </c>
      <c r="AM8" s="1316"/>
      <c r="AN8" s="668"/>
      <c r="AO8" s="1178"/>
      <c r="AP8" s="1646"/>
      <c r="AQ8" s="1374" t="s">
        <v>50</v>
      </c>
      <c r="AR8" s="1646"/>
      <c r="AS8" s="1374" t="s">
        <v>50</v>
      </c>
      <c r="AT8" s="1267"/>
      <c r="AU8" s="2169" t="s">
        <v>433</v>
      </c>
      <c r="AV8" s="436" t="e">
        <f ca="1">STRCHECKDATE(V11:AT11)</f>
        <v>#NAME?</v>
      </c>
      <c r="AW8" s="425"/>
      <c r="AX8" s="425" t="str">
        <f t="shared" si="0"/>
        <v/>
      </c>
      <c r="AY8" s="425"/>
      <c r="AZ8" s="425"/>
    </row>
    <row r="9" spans="1:52" ht="11.25" hidden="1" customHeight="1">
      <c r="A9" s="1281"/>
      <c r="B9" s="1281"/>
      <c r="C9" s="1281"/>
      <c r="D9" s="1281"/>
      <c r="E9" s="2147"/>
      <c r="F9" s="2147"/>
      <c r="G9" s="2147"/>
      <c r="H9" s="2147"/>
      <c r="I9" s="2149"/>
      <c r="J9" s="2149"/>
      <c r="K9" s="2148"/>
      <c r="L9" s="1282"/>
      <c r="P9" s="2150"/>
      <c r="Q9" s="2150"/>
      <c r="R9" s="2199"/>
      <c r="S9" s="2197"/>
      <c r="T9" s="2194"/>
      <c r="U9" s="217"/>
      <c r="V9" s="1311"/>
      <c r="W9" s="1315"/>
      <c r="X9" s="2151"/>
      <c r="Y9" s="2029"/>
      <c r="Z9" s="2151"/>
      <c r="AA9" s="2029"/>
      <c r="AB9" s="2029"/>
      <c r="AC9" s="2192"/>
      <c r="AD9" s="2102"/>
      <c r="AE9" s="2205"/>
      <c r="AF9" s="2029"/>
      <c r="AG9" s="2192"/>
      <c r="AH9" s="2102"/>
      <c r="AI9" s="2205"/>
      <c r="AJ9" s="2029"/>
      <c r="AK9" s="237"/>
      <c r="AL9" s="349"/>
      <c r="AM9" s="348" t="s">
        <v>434</v>
      </c>
      <c r="AN9" s="1311"/>
      <c r="AO9" s="1408"/>
      <c r="AP9" s="1311"/>
      <c r="AQ9" s="1311"/>
      <c r="AR9" s="1311"/>
      <c r="AS9" s="1311"/>
      <c r="AT9" s="1308"/>
      <c r="AU9" s="2170"/>
      <c r="AW9" s="425"/>
      <c r="AX9" s="425"/>
      <c r="AY9" s="425"/>
      <c r="AZ9" s="425"/>
    </row>
    <row r="10" spans="1:52" ht="11.25" hidden="1" customHeight="1">
      <c r="A10" s="1281"/>
      <c r="B10" s="1281"/>
      <c r="C10" s="1281"/>
      <c r="D10" s="1281"/>
      <c r="E10" s="2147"/>
      <c r="F10" s="2147"/>
      <c r="G10" s="2147"/>
      <c r="H10" s="2147"/>
      <c r="I10" s="2149"/>
      <c r="J10" s="2149"/>
      <c r="K10" s="2148"/>
      <c r="L10" s="1282"/>
      <c r="P10" s="2150"/>
      <c r="Q10" s="2150"/>
      <c r="R10" s="2199"/>
      <c r="S10" s="2197"/>
      <c r="T10" s="2194"/>
      <c r="U10" s="217"/>
      <c r="V10" s="1311"/>
      <c r="W10" s="1315"/>
      <c r="X10" s="2151"/>
      <c r="Y10" s="2029"/>
      <c r="Z10" s="2151"/>
      <c r="AA10" s="2029"/>
      <c r="AB10" s="2029"/>
      <c r="AC10" s="2192"/>
      <c r="AD10" s="2102"/>
      <c r="AE10" s="2205"/>
      <c r="AF10" s="2029"/>
      <c r="AG10" s="211"/>
      <c r="AH10" s="348"/>
      <c r="AI10" s="348" t="s">
        <v>435</v>
      </c>
      <c r="AJ10" s="1311"/>
      <c r="AK10" s="1311"/>
      <c r="AL10" s="1311"/>
      <c r="AM10" s="1311"/>
      <c r="AN10" s="1311"/>
      <c r="AO10" s="1408"/>
      <c r="AP10" s="1311"/>
      <c r="AQ10" s="1311"/>
      <c r="AR10" s="1311"/>
      <c r="AS10" s="1311"/>
      <c r="AT10" s="1308"/>
      <c r="AU10" s="2170"/>
      <c r="AW10" s="425"/>
      <c r="AX10" s="425"/>
      <c r="AY10" s="425"/>
      <c r="AZ10" s="425"/>
    </row>
    <row r="11" spans="1:52" ht="11.25" hidden="1" customHeight="1">
      <c r="A11" s="1281"/>
      <c r="B11" s="1281"/>
      <c r="C11" s="1281"/>
      <c r="D11" s="1281"/>
      <c r="E11" s="2147"/>
      <c r="F11" s="2147"/>
      <c r="G11" s="2147"/>
      <c r="H11" s="2147"/>
      <c r="I11" s="2149"/>
      <c r="J11" s="2149"/>
      <c r="K11" s="2148"/>
      <c r="L11" s="1282"/>
      <c r="P11" s="2150"/>
      <c r="Q11" s="2150"/>
      <c r="R11" s="2199"/>
      <c r="S11" s="2198"/>
      <c r="T11" s="2195"/>
      <c r="U11" s="217"/>
      <c r="V11" s="1311"/>
      <c r="W11" s="1314" t="str">
        <f>X8&amp;"-"&amp;Z8</f>
        <v>-</v>
      </c>
      <c r="X11" s="2152"/>
      <c r="Y11" s="2029"/>
      <c r="Z11" s="2152"/>
      <c r="AA11" s="2029"/>
      <c r="AB11" s="2029"/>
      <c r="AC11" s="231"/>
      <c r="AD11" s="233"/>
      <c r="AE11" s="348" t="s">
        <v>436</v>
      </c>
      <c r="AF11" s="1311"/>
      <c r="AG11" s="1311"/>
      <c r="AH11" s="1311"/>
      <c r="AI11" s="1311"/>
      <c r="AJ11" s="1311"/>
      <c r="AK11" s="1311"/>
      <c r="AL11" s="1311"/>
      <c r="AM11" s="1311"/>
      <c r="AN11" s="1311"/>
      <c r="AO11" s="1312" t="str">
        <f>AP8&amp;"-"&amp;AR8</f>
        <v>-</v>
      </c>
      <c r="AP11" s="1311"/>
      <c r="AQ11" s="1311"/>
      <c r="AR11" s="1311"/>
      <c r="AS11" s="1311"/>
      <c r="AT11" s="1268"/>
      <c r="AU11" s="2170"/>
      <c r="AW11" s="425"/>
      <c r="AX11" s="425" t="str">
        <f t="shared" ref="AX11:AX17" si="1">IF(T11="","",T11)</f>
        <v/>
      </c>
      <c r="AY11" s="425"/>
      <c r="AZ11" s="425"/>
    </row>
    <row r="12" spans="1:52" ht="11.25" hidden="1" customHeight="1">
      <c r="A12" s="1281"/>
      <c r="B12" s="1281"/>
      <c r="C12" s="1281"/>
      <c r="D12" s="1281"/>
      <c r="E12" s="2147"/>
      <c r="F12" s="2147"/>
      <c r="G12" s="2147"/>
      <c r="H12" s="2147"/>
      <c r="I12" s="2149"/>
      <c r="J12" s="2148"/>
      <c r="K12" s="1281"/>
      <c r="L12" s="1282"/>
      <c r="P12" s="2150"/>
      <c r="Q12" s="2150"/>
      <c r="R12" s="280"/>
      <c r="S12" s="1200"/>
      <c r="T12" s="204" t="s">
        <v>437</v>
      </c>
      <c r="U12" s="294"/>
      <c r="V12" s="294"/>
      <c r="W12" s="294"/>
      <c r="X12" s="294"/>
      <c r="Y12" s="294"/>
      <c r="Z12" s="294"/>
      <c r="AA12" s="294"/>
      <c r="AB12" s="294"/>
      <c r="AC12" s="294"/>
      <c r="AD12" s="294"/>
      <c r="AE12" s="294"/>
      <c r="AF12" s="294"/>
      <c r="AG12" s="294"/>
      <c r="AH12" s="294"/>
      <c r="AI12" s="294"/>
      <c r="AJ12" s="294"/>
      <c r="AK12" s="294"/>
      <c r="AL12" s="294"/>
      <c r="AM12" s="294"/>
      <c r="AN12" s="294"/>
      <c r="AO12" s="294"/>
      <c r="AP12" s="294"/>
      <c r="AQ12" s="294"/>
      <c r="AR12" s="294"/>
      <c r="AS12" s="294"/>
      <c r="AT12" s="248"/>
      <c r="AU12" s="2171"/>
      <c r="AW12" s="425"/>
      <c r="AX12" s="425" t="str">
        <f t="shared" si="1"/>
        <v>Добавить строку</v>
      </c>
      <c r="AY12" s="425"/>
      <c r="AZ12" s="425"/>
    </row>
    <row r="13" spans="1:52" s="1811" customFormat="1" ht="14.25" hidden="1" customHeight="1">
      <c r="A13" s="1262"/>
      <c r="B13" s="1262"/>
      <c r="C13" s="1262"/>
      <c r="D13" s="1262"/>
      <c r="E13" s="2147"/>
      <c r="F13" s="2147"/>
      <c r="G13" s="2147"/>
      <c r="H13" s="2147"/>
      <c r="I13" s="2148"/>
      <c r="J13" s="1262"/>
      <c r="K13" s="1262"/>
      <c r="L13" s="1265"/>
      <c r="M13" s="435"/>
      <c r="N13" s="435"/>
      <c r="O13" s="435"/>
      <c r="P13" s="2150"/>
      <c r="Q13" s="1250"/>
      <c r="R13" s="280"/>
      <c r="S13" s="1304"/>
      <c r="T13" s="1305"/>
      <c r="U13" s="1306"/>
      <c r="V13" s="1306"/>
      <c r="W13" s="1306"/>
      <c r="X13" s="1306"/>
      <c r="Y13" s="1306"/>
      <c r="Z13" s="1306"/>
      <c r="AA13" s="1306"/>
      <c r="AB13" s="1306"/>
      <c r="AC13" s="1306"/>
      <c r="AD13" s="1306"/>
      <c r="AE13" s="1306"/>
      <c r="AF13" s="1306"/>
      <c r="AG13" s="1306"/>
      <c r="AH13" s="1306"/>
      <c r="AI13" s="1306"/>
      <c r="AJ13" s="1306"/>
      <c r="AK13" s="1306"/>
      <c r="AL13" s="1306"/>
      <c r="AM13" s="1306"/>
      <c r="AN13" s="1306"/>
      <c r="AO13" s="1306"/>
      <c r="AP13" s="1306"/>
      <c r="AQ13" s="1306"/>
      <c r="AR13" s="1306"/>
      <c r="AS13" s="1306"/>
      <c r="AT13" s="1306"/>
      <c r="AU13" s="1307"/>
      <c r="AW13" s="425"/>
      <c r="AX13" s="425" t="str">
        <f t="shared" si="1"/>
        <v/>
      </c>
      <c r="AY13" s="425"/>
      <c r="AZ13" s="425"/>
    </row>
    <row r="14" spans="1:52" s="1811" customFormat="1" ht="14.25" hidden="1" customHeight="1">
      <c r="A14" s="1262"/>
      <c r="B14" s="1262"/>
      <c r="C14" s="1262"/>
      <c r="D14" s="1262"/>
      <c r="E14" s="2147"/>
      <c r="F14" s="2147"/>
      <c r="G14" s="2147"/>
      <c r="H14" s="2146"/>
      <c r="I14" s="1262"/>
      <c r="J14" s="1262"/>
      <c r="K14" s="1262"/>
      <c r="L14" s="1265"/>
      <c r="M14" s="1235"/>
      <c r="N14" s="1235"/>
      <c r="O14" s="443"/>
      <c r="P14" s="312"/>
      <c r="Q14" s="1263"/>
      <c r="R14" s="1319"/>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7"/>
      <c r="AW14" s="425"/>
      <c r="AX14" s="425" t="str">
        <f t="shared" si="1"/>
        <v/>
      </c>
      <c r="AY14" s="425"/>
      <c r="AZ14" s="425"/>
    </row>
    <row r="15" spans="1:52" s="1881" customFormat="1" ht="14.25" hidden="1" customHeight="1">
      <c r="A15" s="1262"/>
      <c r="B15" s="1262"/>
      <c r="C15" s="1262"/>
      <c r="D15" s="1234"/>
      <c r="E15" s="2147"/>
      <c r="F15" s="2147"/>
      <c r="G15" s="2146"/>
      <c r="H15" s="1234"/>
      <c r="I15" s="1234"/>
      <c r="J15" s="1234"/>
      <c r="K15" s="1234"/>
      <c r="L15" s="1258"/>
      <c r="M15" s="1235"/>
      <c r="N15" s="1235"/>
      <c r="P15" s="1236"/>
      <c r="Q15" s="1237"/>
      <c r="R15" s="1236"/>
      <c r="S15" s="1242"/>
      <c r="T15" s="1245" t="s">
        <v>384</v>
      </c>
      <c r="U15" s="1244"/>
      <c r="V15" s="1244"/>
      <c r="W15" s="1244"/>
      <c r="X15" s="1244"/>
      <c r="Y15" s="1244"/>
      <c r="Z15" s="1244"/>
      <c r="AA15" s="1244"/>
      <c r="AB15" s="1244"/>
      <c r="AC15" s="1244"/>
      <c r="AD15" s="1244"/>
      <c r="AE15" s="1244"/>
      <c r="AF15" s="1244"/>
      <c r="AG15" s="1244"/>
      <c r="AH15" s="1244"/>
      <c r="AI15" s="1244"/>
      <c r="AJ15" s="1244"/>
      <c r="AK15" s="1244"/>
      <c r="AL15" s="1244"/>
      <c r="AM15" s="1244"/>
      <c r="AN15" s="1244"/>
      <c r="AO15" s="1244"/>
      <c r="AP15" s="1244"/>
      <c r="AQ15" s="1244"/>
      <c r="AR15" s="1244"/>
      <c r="AS15" s="1244"/>
      <c r="AT15" s="1244"/>
      <c r="AU15" s="1244"/>
      <c r="AW15" s="707"/>
      <c r="AX15" s="707" t="str">
        <f t="shared" si="1"/>
        <v>Добавить источник для дифференциации</v>
      </c>
      <c r="AY15" s="707"/>
      <c r="AZ15" s="707"/>
    </row>
    <row r="16" spans="1:52" s="1881" customFormat="1" ht="14.25" hidden="1" customHeight="1">
      <c r="A16" s="1262"/>
      <c r="B16" s="1262"/>
      <c r="C16" s="1234"/>
      <c r="D16" s="1234"/>
      <c r="E16" s="2147"/>
      <c r="F16" s="2146"/>
      <c r="G16" s="1234"/>
      <c r="H16" s="1234"/>
      <c r="I16" s="1234"/>
      <c r="J16" s="1234"/>
      <c r="K16" s="1234"/>
      <c r="L16" s="1258"/>
      <c r="M16" s="1241"/>
      <c r="N16" s="1241"/>
      <c r="P16" s="1236"/>
      <c r="Q16" s="1237"/>
      <c r="R16" s="1236"/>
      <c r="S16" s="1242"/>
      <c r="T16" s="1245" t="s">
        <v>385</v>
      </c>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W16" s="707"/>
      <c r="AX16" s="707" t="str">
        <f t="shared" si="1"/>
        <v>Добавить централизованную систему для дифференциации</v>
      </c>
      <c r="AY16" s="707"/>
      <c r="AZ16" s="707"/>
    </row>
    <row r="17" spans="1:52" s="1811" customFormat="1" ht="14.25" hidden="1" customHeight="1">
      <c r="A17" s="1262"/>
      <c r="B17" s="1262"/>
      <c r="C17" s="1262"/>
      <c r="D17" s="1262"/>
      <c r="E17" s="2146"/>
      <c r="F17" s="1262"/>
      <c r="G17" s="1262"/>
      <c r="H17" s="1262"/>
      <c r="I17" s="1262"/>
      <c r="J17" s="1262"/>
      <c r="K17" s="1262"/>
      <c r="L17" s="1265"/>
      <c r="M17" s="1241"/>
      <c r="N17" s="1241"/>
      <c r="O17" s="443"/>
      <c r="P17" s="312"/>
      <c r="Q17" s="1263"/>
      <c r="R17" s="312"/>
      <c r="S17" s="1242"/>
      <c r="T17" s="1245" t="s">
        <v>386</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W17" s="425"/>
      <c r="AX17" s="425" t="str">
        <f t="shared" si="1"/>
        <v>Добавить территорию для дифференциации</v>
      </c>
      <c r="AY17" s="425"/>
      <c r="AZ17" s="425"/>
    </row>
    <row r="18" spans="1:52" ht="14.25" hidden="1" customHeight="1">
      <c r="AA18" s="252"/>
      <c r="AS18" s="252"/>
    </row>
    <row r="19" spans="1:52" ht="14.25" hidden="1" customHeight="1">
      <c r="AB19" s="1244" t="s">
        <v>48</v>
      </c>
      <c r="AC19" s="1413"/>
      <c r="AD19" s="472">
        <v>1</v>
      </c>
      <c r="AE19" s="1414"/>
      <c r="AF19" s="1244" t="s">
        <v>48</v>
      </c>
      <c r="AG19" s="1413"/>
      <c r="AH19" s="472">
        <v>1</v>
      </c>
      <c r="AI19" s="1414"/>
      <c r="AJ19" s="1244" t="s">
        <v>48</v>
      </c>
      <c r="AK19" s="1415"/>
      <c r="AL19" s="472">
        <v>1</v>
      </c>
      <c r="AM19" s="1418"/>
      <c r="AN19" s="1321"/>
      <c r="AO19" s="1322"/>
      <c r="AP19" s="1648"/>
      <c r="AQ19" s="1375" t="s">
        <v>50</v>
      </c>
      <c r="AR19" s="1648"/>
      <c r="AS19" s="1375" t="s">
        <v>50</v>
      </c>
    </row>
    <row r="20" spans="1:52" ht="14.25" hidden="1" customHeight="1">
      <c r="AV20" s="421"/>
      <c r="AW20" s="421"/>
      <c r="AX20" s="421"/>
      <c r="AY20" s="421"/>
      <c r="AZ20" s="421"/>
    </row>
    <row r="21" spans="1:52" ht="14.25" hidden="1" customHeight="1">
      <c r="O21" s="1285" t="s">
        <v>387</v>
      </c>
      <c r="X21" s="1264"/>
      <c r="Z21" s="1264"/>
      <c r="AA21" s="252"/>
      <c r="AP21" s="1264"/>
      <c r="AR21" s="1264"/>
      <c r="AS21" s="252"/>
      <c r="AV21" s="421"/>
      <c r="AW21" s="421"/>
      <c r="AX21" s="421"/>
      <c r="AY21" s="421"/>
      <c r="AZ21" s="421"/>
    </row>
    <row r="22" spans="1:52" ht="14.25" hidden="1" customHeight="1">
      <c r="AA22" s="252"/>
      <c r="AS22" s="252"/>
      <c r="AV22" s="421"/>
      <c r="AW22" s="421"/>
      <c r="AX22" s="421"/>
      <c r="AY22" s="421"/>
      <c r="AZ22" s="421"/>
    </row>
    <row r="23" spans="1:52" s="1895" customFormat="1" ht="14.25" hidden="1" customHeight="1">
      <c r="M23" s="1420"/>
      <c r="N23" s="1420"/>
      <c r="O23" s="1421" t="s">
        <v>388</v>
      </c>
      <c r="P23" s="1420"/>
      <c r="Q23" s="1422"/>
      <c r="R23" s="1422"/>
      <c r="Y23" s="1419" t="s">
        <v>390</v>
      </c>
      <c r="AA23" s="1419" t="s">
        <v>391</v>
      </c>
      <c r="AB23" s="1419" t="s">
        <v>438</v>
      </c>
      <c r="AE23" s="1419" t="s">
        <v>439</v>
      </c>
      <c r="AF23" s="1419" t="s">
        <v>438</v>
      </c>
      <c r="AI23" s="1419" t="s">
        <v>440</v>
      </c>
      <c r="AJ23" s="1419" t="s">
        <v>438</v>
      </c>
      <c r="AM23" s="1419" t="s">
        <v>441</v>
      </c>
      <c r="AQ23" s="1419" t="s">
        <v>390</v>
      </c>
      <c r="AS23" s="1419" t="s">
        <v>391</v>
      </c>
      <c r="AV23" s="1423"/>
      <c r="AW23" s="1423"/>
      <c r="AX23" s="1423"/>
      <c r="AY23" s="1423"/>
      <c r="AZ23" s="1423"/>
    </row>
    <row r="24" spans="1:52" ht="14.25" hidden="1" customHeight="1">
      <c r="O24" s="1282"/>
      <c r="AV24" s="421"/>
      <c r="AW24" s="421"/>
      <c r="AX24" s="421"/>
      <c r="AY24" s="421"/>
      <c r="AZ24" s="421"/>
    </row>
    <row r="25" spans="1:52" ht="14.25" hidden="1" customHeight="1">
      <c r="O25" s="1282"/>
      <c r="AV25" s="421"/>
      <c r="AW25" s="421"/>
      <c r="AX25" s="421"/>
      <c r="AY25" s="421"/>
      <c r="AZ25" s="421"/>
    </row>
    <row r="26" spans="1:52" ht="14.25" customHeight="1">
      <c r="Q26" s="208"/>
      <c r="R26" s="304"/>
      <c r="S26" s="1197"/>
      <c r="T26" s="289"/>
      <c r="U26" s="289"/>
      <c r="V26" s="434"/>
      <c r="W26" s="434"/>
      <c r="X26" s="434"/>
      <c r="Y26" s="434"/>
      <c r="Z26" s="434"/>
      <c r="AA26" s="434"/>
      <c r="AB26" s="434"/>
      <c r="AC26" s="434"/>
      <c r="AD26" s="434"/>
      <c r="AE26" s="434"/>
      <c r="AF26" s="434"/>
      <c r="AG26" s="434"/>
      <c r="AH26" s="434"/>
      <c r="AI26" s="434"/>
      <c r="AJ26" s="434"/>
      <c r="AK26" s="434"/>
      <c r="AL26" s="434"/>
      <c r="AM26" s="434"/>
      <c r="AN26" s="434"/>
      <c r="AO26" s="434"/>
      <c r="AP26" s="434"/>
      <c r="AQ26" s="434"/>
      <c r="AR26" s="434"/>
      <c r="AS26" s="434"/>
    </row>
    <row r="27" spans="1:52" ht="26.25" customHeight="1">
      <c r="Q27" s="208"/>
      <c r="R27" s="304"/>
      <c r="S27" s="212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27"/>
      <c r="U27" s="2127"/>
      <c r="V27" s="2127"/>
      <c r="W27" s="2127"/>
      <c r="X27" s="2127"/>
      <c r="Y27" s="2127"/>
      <c r="Z27" s="2127"/>
      <c r="AA27" s="2127"/>
      <c r="AB27" s="2127"/>
      <c r="AC27" s="2127"/>
      <c r="AD27" s="2127"/>
      <c r="AE27" s="2127"/>
      <c r="AF27" s="2127"/>
      <c r="AG27" s="2127"/>
      <c r="AH27" s="2127"/>
      <c r="AI27" s="2127"/>
      <c r="AJ27" s="2127"/>
      <c r="AK27" s="2127"/>
      <c r="AL27" s="2127"/>
      <c r="AM27" s="2127"/>
      <c r="AN27" s="2127"/>
      <c r="AO27" s="2127"/>
      <c r="AP27" s="2127"/>
      <c r="AQ27" s="2127"/>
      <c r="AR27" s="2127"/>
      <c r="AS27" s="1154"/>
    </row>
    <row r="28" spans="1:52" ht="14.25" customHeight="1">
      <c r="Q28" s="208"/>
      <c r="R28" s="304"/>
      <c r="S28" s="2098" t="str">
        <f>IF(org=0,"Не определено",org)</f>
        <v>ООО "Горводоканал"</v>
      </c>
      <c r="T28" s="2098"/>
      <c r="U28" s="2098"/>
      <c r="V28" s="2098"/>
      <c r="W28" s="2098"/>
      <c r="X28" s="2098"/>
      <c r="Y28" s="2098"/>
      <c r="Z28" s="2098"/>
      <c r="AA28" s="2098"/>
      <c r="AB28" s="2098"/>
      <c r="AC28" s="2098"/>
      <c r="AD28" s="2098"/>
      <c r="AE28" s="2098"/>
      <c r="AF28" s="2098"/>
      <c r="AG28" s="2098"/>
      <c r="AH28" s="2098"/>
      <c r="AI28" s="2098"/>
      <c r="AJ28" s="2098"/>
      <c r="AK28" s="2098"/>
      <c r="AL28" s="2098"/>
      <c r="AM28" s="2098"/>
      <c r="AN28" s="2098"/>
      <c r="AO28" s="2098"/>
      <c r="AP28" s="2098"/>
      <c r="AQ28" s="2098"/>
      <c r="AR28" s="2098"/>
      <c r="AS28" s="1154"/>
    </row>
    <row r="29" spans="1:52" ht="14.25" hidden="1" customHeight="1">
      <c r="Q29" s="208"/>
      <c r="R29" s="304"/>
      <c r="S29" s="1197"/>
      <c r="T29" s="289"/>
      <c r="U29" s="289"/>
      <c r="V29" s="245"/>
      <c r="W29" s="245"/>
      <c r="X29" s="245"/>
      <c r="Y29" s="245"/>
      <c r="Z29" s="245"/>
      <c r="AA29" s="245"/>
      <c r="AB29" s="245"/>
      <c r="AC29" s="245"/>
      <c r="AD29" s="245"/>
      <c r="AE29" s="245"/>
      <c r="AF29" s="245"/>
      <c r="AG29" s="245"/>
      <c r="AH29" s="245"/>
      <c r="AI29" s="245"/>
      <c r="AJ29" s="245"/>
      <c r="AK29" s="245"/>
      <c r="AL29" s="245"/>
      <c r="AM29" s="245"/>
      <c r="AN29" s="245"/>
      <c r="AO29" s="245"/>
      <c r="AP29" s="245"/>
      <c r="AQ29" s="245"/>
      <c r="AR29" s="245"/>
      <c r="AS29" s="245"/>
      <c r="AT29" s="434"/>
    </row>
    <row r="30" spans="1:52" s="1887" customFormat="1" ht="25.5" hidden="1" customHeight="1">
      <c r="A30" s="1286"/>
      <c r="B30" s="1286"/>
      <c r="C30" s="1286"/>
      <c r="D30" s="1286"/>
      <c r="E30" s="1286"/>
      <c r="F30" s="1286"/>
      <c r="G30" s="1286"/>
      <c r="H30" s="1286"/>
      <c r="I30" s="1286"/>
      <c r="J30" s="1286"/>
      <c r="K30" s="1286"/>
      <c r="L30" s="1287"/>
      <c r="M30" s="1286"/>
      <c r="N30" s="1286"/>
      <c r="O30" s="1286"/>
      <c r="P30" s="1286"/>
      <c r="Q30" s="1286"/>
      <c r="S30" s="2137" t="s">
        <v>37</v>
      </c>
      <c r="T30" s="2137"/>
      <c r="U30" s="1290"/>
      <c r="V30" s="2139" t="str">
        <f>IF(TITLE_NAME_OR_PR_CHANGE="",IF(TITLE_NAME_OR_PR="","",TITLE_NAME_OR_PR),TITLE_NAME_OR_PR_CHANGE)</f>
        <v/>
      </c>
      <c r="W30" s="2139"/>
      <c r="X30" s="2139"/>
      <c r="Y30" s="2139"/>
      <c r="Z30" s="2139"/>
      <c r="AA30" s="251"/>
      <c r="AB30" s="2139" t="str">
        <f>IF(TITLE_NAME_OR_PR_CHANGE="",IF(TITLE_NAME_OR_PR="","",TITLE_NAME_OR_PR),TITLE_NAME_OR_PR_CHANGE)</f>
        <v/>
      </c>
      <c r="AC30" s="2139"/>
      <c r="AD30" s="2139"/>
      <c r="AE30" s="2139"/>
      <c r="AF30" s="2139"/>
      <c r="AG30" s="2139"/>
      <c r="AH30" s="2139"/>
      <c r="AI30" s="2139"/>
      <c r="AJ30" s="2139"/>
      <c r="AK30" s="2139"/>
      <c r="AL30" s="2139"/>
      <c r="AM30" s="2139"/>
      <c r="AN30" s="2139"/>
      <c r="AO30" s="2139"/>
      <c r="AP30" s="2139"/>
      <c r="AQ30" s="2139"/>
      <c r="AR30" s="2139"/>
      <c r="AS30" s="251"/>
      <c r="AT30" s="251"/>
      <c r="AU30" s="198"/>
      <c r="AV30" s="295"/>
      <c r="AW30" s="295"/>
      <c r="AX30" s="295"/>
      <c r="AY30" s="295"/>
      <c r="AZ30" s="295"/>
    </row>
    <row r="31" spans="1:52" s="1887" customFormat="1" ht="18.75" hidden="1" customHeight="1">
      <c r="A31" s="1286"/>
      <c r="B31" s="1286"/>
      <c r="C31" s="1286"/>
      <c r="D31" s="1286"/>
      <c r="E31" s="1286"/>
      <c r="F31" s="1286"/>
      <c r="G31" s="1286"/>
      <c r="H31" s="1286"/>
      <c r="I31" s="1286"/>
      <c r="J31" s="1286"/>
      <c r="K31" s="1286"/>
      <c r="L31" s="1287"/>
      <c r="M31" s="1286"/>
      <c r="N31" s="1286"/>
      <c r="O31" s="1286"/>
      <c r="P31" s="1286"/>
      <c r="Q31" s="1286"/>
      <c r="S31" s="2137" t="s">
        <v>393</v>
      </c>
      <c r="T31" s="2137"/>
      <c r="U31" s="1290"/>
      <c r="V31" s="2138" t="str">
        <f>IF(TITLE_DATE_PR_CHANGE="",IF(TITLE_DATE_PR="","",TITLE_DATE_PR),TITLE_DATE_PR_CHANGE)</f>
        <v/>
      </c>
      <c r="W31" s="2138"/>
      <c r="X31" s="2138"/>
      <c r="Y31" s="2138"/>
      <c r="Z31" s="2138"/>
      <c r="AA31" s="251"/>
      <c r="AB31" s="2138" t="str">
        <f>IF(TITLE_DATE_PR_CHANGE="",IF(TITLE_DATE_PR="","",TITLE_DATE_PR),TITLE_DATE_PR_CHANGE)</f>
        <v/>
      </c>
      <c r="AC31" s="2138"/>
      <c r="AD31" s="2138"/>
      <c r="AE31" s="2138"/>
      <c r="AF31" s="2138"/>
      <c r="AG31" s="2138"/>
      <c r="AH31" s="2138"/>
      <c r="AI31" s="2138"/>
      <c r="AJ31" s="2138"/>
      <c r="AK31" s="2138"/>
      <c r="AL31" s="2138"/>
      <c r="AM31" s="2138"/>
      <c r="AN31" s="2138"/>
      <c r="AO31" s="2138"/>
      <c r="AP31" s="2138"/>
      <c r="AQ31" s="2138"/>
      <c r="AR31" s="2138"/>
      <c r="AS31" s="251"/>
      <c r="AT31" s="251"/>
      <c r="AU31" s="198"/>
      <c r="AV31" s="295"/>
      <c r="AW31" s="295"/>
      <c r="AX31" s="295"/>
      <c r="AY31" s="295"/>
      <c r="AZ31" s="295"/>
    </row>
    <row r="32" spans="1:52"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7" t="s">
        <v>394</v>
      </c>
      <c r="T32" s="2137"/>
      <c r="U32" s="1290"/>
      <c r="V32" s="2139" t="str">
        <f>IF(TITLE_NUMBER_PR_CHANGE="",IF(TITLE_NUMBER_PR="","",TITLE_NUMBER_PR),TITLE_NUMBER_PR_CHANGE)</f>
        <v/>
      </c>
      <c r="W32" s="2139"/>
      <c r="X32" s="2139"/>
      <c r="Y32" s="2139"/>
      <c r="Z32" s="2139"/>
      <c r="AA32" s="251"/>
      <c r="AB32" s="2139" t="str">
        <f>IF(TITLE_NUMBER_PR_CHANGE="",IF(TITLE_NUMBER_PR="","",TITLE_NUMBER_PR),TITLE_NUMBER_PR_CHANGE)</f>
        <v/>
      </c>
      <c r="AC32" s="2139"/>
      <c r="AD32" s="2139"/>
      <c r="AE32" s="2139"/>
      <c r="AF32" s="2139"/>
      <c r="AG32" s="2139"/>
      <c r="AH32" s="2139"/>
      <c r="AI32" s="2139"/>
      <c r="AJ32" s="2139"/>
      <c r="AK32" s="2139"/>
      <c r="AL32" s="2139"/>
      <c r="AM32" s="2139"/>
      <c r="AN32" s="2139"/>
      <c r="AO32" s="2139"/>
      <c r="AP32" s="2139"/>
      <c r="AQ32" s="2139"/>
      <c r="AR32" s="2139"/>
      <c r="AS32" s="251"/>
      <c r="AT32" s="251"/>
      <c r="AU32" s="198"/>
      <c r="AV32" s="295"/>
      <c r="AW32" s="295"/>
      <c r="AX32" s="295"/>
      <c r="AY32" s="295"/>
      <c r="AZ32" s="295"/>
    </row>
    <row r="33" spans="1:52"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7" t="s">
        <v>38</v>
      </c>
      <c r="T33" s="2137"/>
      <c r="U33" s="1290"/>
      <c r="V33" s="2139" t="str">
        <f>IF(TITLE_IST_PUB_CHANGE="",IF(TITLE_IST_PUB="","",TITLE_IST_PUB),TITLE_IST_PUB_CHANGE)</f>
        <v/>
      </c>
      <c r="W33" s="2139"/>
      <c r="X33" s="2139"/>
      <c r="Y33" s="2139"/>
      <c r="Z33" s="2139"/>
      <c r="AA33" s="251"/>
      <c r="AB33" s="2139" t="str">
        <f>IF(TITLE_IST_PUB_CHANGE="",IF(TITLE_IST_PUB="","",TITLE_IST_PUB),TITLE_IST_PUB_CHANGE)</f>
        <v/>
      </c>
      <c r="AC33" s="2139"/>
      <c r="AD33" s="2139"/>
      <c r="AE33" s="2139"/>
      <c r="AF33" s="2139"/>
      <c r="AG33" s="2139"/>
      <c r="AH33" s="2139"/>
      <c r="AI33" s="2139"/>
      <c r="AJ33" s="2139"/>
      <c r="AK33" s="2139"/>
      <c r="AL33" s="2139"/>
      <c r="AM33" s="2139"/>
      <c r="AN33" s="2139"/>
      <c r="AO33" s="2139"/>
      <c r="AP33" s="2139"/>
      <c r="AQ33" s="2139"/>
      <c r="AR33" s="2139"/>
      <c r="AS33" s="251"/>
      <c r="AT33" s="251"/>
      <c r="AU33" s="198"/>
      <c r="AV33" s="295"/>
      <c r="AW33" s="295"/>
      <c r="AX33" s="295"/>
      <c r="AY33" s="295"/>
      <c r="AZ33" s="295"/>
    </row>
    <row r="34" spans="1:52" ht="14.25" hidden="1" customHeight="1">
      <c r="Q34" s="208"/>
      <c r="R34" s="304"/>
      <c r="S34" s="1197"/>
      <c r="T34" s="289"/>
      <c r="U34" s="289"/>
      <c r="V34" s="245"/>
      <c r="W34" s="245"/>
      <c r="X34" s="245"/>
      <c r="Y34" s="245"/>
      <c r="Z34" s="245"/>
      <c r="AA34" s="245"/>
      <c r="AB34" s="245"/>
      <c r="AC34" s="245"/>
      <c r="AD34" s="245"/>
      <c r="AE34" s="245"/>
      <c r="AF34" s="245"/>
      <c r="AG34" s="245"/>
      <c r="AH34" s="245"/>
      <c r="AI34" s="245"/>
      <c r="AJ34" s="245"/>
      <c r="AK34" s="245"/>
      <c r="AL34" s="245"/>
      <c r="AM34" s="245"/>
      <c r="AN34" s="245"/>
      <c r="AO34" s="245"/>
      <c r="AP34" s="245"/>
      <c r="AQ34" s="245"/>
      <c r="AR34" s="245"/>
      <c r="AS34" s="245"/>
      <c r="AT34" s="434"/>
    </row>
    <row r="35" spans="1:52" s="1887" customFormat="1" ht="18.75" hidden="1" customHeight="1">
      <c r="A35" s="1286"/>
      <c r="B35" s="1286"/>
      <c r="C35" s="1286"/>
      <c r="D35" s="1286"/>
      <c r="E35" s="1286"/>
      <c r="F35" s="1286"/>
      <c r="G35" s="1286"/>
      <c r="H35" s="1286"/>
      <c r="I35" s="1286"/>
      <c r="J35" s="1286"/>
      <c r="K35" s="1286"/>
      <c r="L35" s="1287"/>
      <c r="M35" s="1286"/>
      <c r="N35" s="1286"/>
      <c r="O35" s="1286"/>
      <c r="P35" s="1286"/>
      <c r="Q35" s="1286"/>
      <c r="S35" s="2137" t="s">
        <v>393</v>
      </c>
      <c r="T35" s="2137"/>
      <c r="U35" s="1290"/>
      <c r="V35" s="2138" t="str">
        <f>IF(TITLE_DATE_PR_CHANGE="",IF(TITLE_DATE_PR="","",TITLE_DATE_PR),TITLE_DATE_PR_CHANGE)</f>
        <v/>
      </c>
      <c r="W35" s="2138"/>
      <c r="X35" s="2138"/>
      <c r="Y35" s="2138"/>
      <c r="Z35" s="2138"/>
      <c r="AA35" s="251"/>
      <c r="AB35" s="2138" t="str">
        <f>IF(TITLE_DATE_PR_CHANGE="",IF(TITLE_DATE_PR="","",TITLE_DATE_PR),TITLE_DATE_PR_CHANGE)</f>
        <v/>
      </c>
      <c r="AC35" s="2138"/>
      <c r="AD35" s="2138"/>
      <c r="AE35" s="2138"/>
      <c r="AF35" s="2138"/>
      <c r="AG35" s="2138"/>
      <c r="AH35" s="2138"/>
      <c r="AI35" s="2138"/>
      <c r="AJ35" s="2138"/>
      <c r="AK35" s="2138"/>
      <c r="AL35" s="2138"/>
      <c r="AM35" s="2138"/>
      <c r="AN35" s="2138"/>
      <c r="AO35" s="2138"/>
      <c r="AP35" s="2138"/>
      <c r="AQ35" s="2138"/>
      <c r="AR35" s="2138"/>
      <c r="AS35" s="251"/>
      <c r="AT35" s="251"/>
      <c r="AU35" s="198"/>
      <c r="AV35" s="295"/>
      <c r="AW35" s="295"/>
      <c r="AX35" s="295"/>
      <c r="AY35" s="295"/>
      <c r="AZ35" s="295"/>
    </row>
    <row r="36" spans="1:52" s="1887" customFormat="1" ht="18" hidden="1" customHeight="1">
      <c r="A36" s="1286"/>
      <c r="B36" s="1286"/>
      <c r="C36" s="1286"/>
      <c r="D36" s="1286"/>
      <c r="E36" s="1286"/>
      <c r="F36" s="1286"/>
      <c r="G36" s="1286"/>
      <c r="H36" s="1286"/>
      <c r="I36" s="1286"/>
      <c r="J36" s="1286"/>
      <c r="K36" s="1286"/>
      <c r="L36" s="1287"/>
      <c r="M36" s="1286"/>
      <c r="N36" s="1286"/>
      <c r="O36" s="1286"/>
      <c r="P36" s="1286"/>
      <c r="Q36" s="1286"/>
      <c r="S36" s="2137" t="s">
        <v>394</v>
      </c>
      <c r="T36" s="2137"/>
      <c r="U36" s="1290"/>
      <c r="V36" s="2139" t="str">
        <f>IF(TITLE_NUMBER_PR_CHANGE="",IF(TITLE_NUMBER_PR="","",TITLE_NUMBER_PR),TITLE_NUMBER_PR_CHANGE)</f>
        <v/>
      </c>
      <c r="W36" s="2139"/>
      <c r="X36" s="2139"/>
      <c r="Y36" s="2139"/>
      <c r="Z36" s="2139"/>
      <c r="AA36" s="251"/>
      <c r="AB36" s="2139" t="str">
        <f>IF(TITLE_NUMBER_PR_CHANGE="",IF(TITLE_NUMBER_PR="","",TITLE_NUMBER_PR),TITLE_NUMBER_PR_CHANGE)</f>
        <v/>
      </c>
      <c r="AC36" s="2139"/>
      <c r="AD36" s="2139"/>
      <c r="AE36" s="2139"/>
      <c r="AF36" s="2139"/>
      <c r="AG36" s="2139"/>
      <c r="AH36" s="2139"/>
      <c r="AI36" s="2139"/>
      <c r="AJ36" s="2139"/>
      <c r="AK36" s="2139"/>
      <c r="AL36" s="2139"/>
      <c r="AM36" s="2139"/>
      <c r="AN36" s="2139"/>
      <c r="AO36" s="2139"/>
      <c r="AP36" s="2139"/>
      <c r="AQ36" s="2139"/>
      <c r="AR36" s="2139"/>
      <c r="AS36" s="251"/>
      <c r="AT36" s="251"/>
      <c r="AU36" s="198"/>
      <c r="AV36" s="295"/>
      <c r="AW36" s="295"/>
      <c r="AX36" s="295"/>
      <c r="AY36" s="295"/>
      <c r="AZ36" s="295"/>
    </row>
    <row r="37" spans="1:52" s="1887" customFormat="1" ht="0.75" customHeight="1">
      <c r="A37" s="1286"/>
      <c r="B37" s="1286"/>
      <c r="C37" s="1286"/>
      <c r="D37" s="1286"/>
      <c r="E37" s="1286"/>
      <c r="F37" s="1286"/>
      <c r="G37" s="1286"/>
      <c r="H37" s="1286"/>
      <c r="I37" s="1286"/>
      <c r="J37" s="1286"/>
      <c r="K37" s="1286"/>
      <c r="L37" s="1287"/>
      <c r="M37" s="1286"/>
      <c r="N37" s="1286"/>
      <c r="O37" s="1286"/>
      <c r="P37" s="1286"/>
      <c r="Q37" s="1286"/>
      <c r="S37" s="247"/>
      <c r="T37" s="247"/>
      <c r="U37" s="1259"/>
      <c r="V37" s="251"/>
      <c r="W37" s="251"/>
      <c r="X37" s="251"/>
      <c r="Y37" s="251"/>
      <c r="Z37" s="251"/>
      <c r="AA37" s="196" t="s">
        <v>397</v>
      </c>
      <c r="AB37" s="251"/>
      <c r="AC37" s="251"/>
      <c r="AD37" s="251"/>
      <c r="AE37" s="251"/>
      <c r="AF37" s="251"/>
      <c r="AG37" s="251"/>
      <c r="AH37" s="251"/>
      <c r="AI37" s="251"/>
      <c r="AJ37" s="251"/>
      <c r="AK37" s="251"/>
      <c r="AL37" s="251"/>
      <c r="AM37" s="251"/>
      <c r="AN37" s="251"/>
      <c r="AO37" s="251"/>
      <c r="AP37" s="251"/>
      <c r="AQ37" s="251"/>
      <c r="AR37" s="251"/>
      <c r="AS37" s="196" t="s">
        <v>397</v>
      </c>
      <c r="AV37" s="295"/>
      <c r="AW37" s="295"/>
      <c r="AX37" s="295"/>
      <c r="AY37" s="295"/>
      <c r="AZ37" s="295"/>
    </row>
    <row r="38" spans="1:52" ht="14.25" customHeight="1">
      <c r="Q38" s="208"/>
      <c r="R38" s="304"/>
      <c r="S38" s="1197"/>
      <c r="T38" s="289"/>
      <c r="U38" s="1155"/>
      <c r="V38" s="2158"/>
      <c r="W38" s="2158"/>
      <c r="X38" s="2158"/>
      <c r="Y38" s="2158"/>
      <c r="Z38" s="2158"/>
      <c r="AA38" s="2158"/>
      <c r="AB38" s="2158"/>
      <c r="AC38" s="2158"/>
      <c r="AD38" s="2158"/>
      <c r="AE38" s="2158"/>
      <c r="AF38" s="2158"/>
      <c r="AG38" s="2158"/>
      <c r="AH38" s="2158"/>
      <c r="AI38" s="2158"/>
      <c r="AJ38" s="2158"/>
      <c r="AK38" s="2158"/>
      <c r="AL38" s="2158"/>
      <c r="AM38" s="2158"/>
      <c r="AN38" s="2158"/>
      <c r="AO38" s="2158"/>
      <c r="AP38" s="2158"/>
      <c r="AQ38" s="2158"/>
      <c r="AR38" s="2158"/>
      <c r="AS38" s="2158"/>
    </row>
    <row r="39" spans="1:52" ht="14.25" customHeight="1">
      <c r="Q39" s="208"/>
      <c r="R39" s="304"/>
      <c r="S39" s="2019" t="s">
        <v>268</v>
      </c>
      <c r="T39" s="2019"/>
      <c r="U39" s="2019"/>
      <c r="V39" s="2019"/>
      <c r="W39" s="2019"/>
      <c r="X39" s="2019"/>
      <c r="Y39" s="2019"/>
      <c r="Z39" s="2019"/>
      <c r="AA39" s="2019"/>
      <c r="AB39" s="2076"/>
      <c r="AC39" s="2076"/>
      <c r="AD39" s="2076"/>
      <c r="AE39" s="2076"/>
      <c r="AF39" s="2019"/>
      <c r="AG39" s="2019"/>
      <c r="AH39" s="2019"/>
      <c r="AI39" s="2019"/>
      <c r="AJ39" s="2019"/>
      <c r="AK39" s="2019"/>
      <c r="AL39" s="2019"/>
      <c r="AM39" s="2019"/>
      <c r="AN39" s="2019"/>
      <c r="AO39" s="2019"/>
      <c r="AP39" s="2019"/>
      <c r="AQ39" s="2019"/>
      <c r="AR39" s="2019"/>
      <c r="AS39" s="2019"/>
      <c r="AT39" s="2019"/>
      <c r="AU39" s="2019" t="s">
        <v>269</v>
      </c>
    </row>
    <row r="40" spans="1:52" ht="14.25" customHeight="1">
      <c r="Q40" s="208"/>
      <c r="R40" s="304"/>
      <c r="S40" s="2159" t="s">
        <v>73</v>
      </c>
      <c r="T40" s="2107" t="s">
        <v>442</v>
      </c>
      <c r="U40" s="218"/>
      <c r="V40" s="2161"/>
      <c r="W40" s="2161"/>
      <c r="X40" s="2161"/>
      <c r="Y40" s="2161"/>
      <c r="Z40" s="2162"/>
      <c r="AA40" s="2201" t="s">
        <v>400</v>
      </c>
      <c r="AB40" s="2185" t="s">
        <v>443</v>
      </c>
      <c r="AC40" s="2174"/>
      <c r="AD40" s="2174"/>
      <c r="AE40" s="2186"/>
      <c r="AF40" s="2174" t="s">
        <v>444</v>
      </c>
      <c r="AG40" s="2174"/>
      <c r="AH40" s="2174"/>
      <c r="AI40" s="2186"/>
      <c r="AJ40" s="2185" t="s">
        <v>445</v>
      </c>
      <c r="AK40" s="2174"/>
      <c r="AL40" s="2174"/>
      <c r="AM40" s="2186"/>
      <c r="AN40" s="2185" t="s">
        <v>399</v>
      </c>
      <c r="AO40" s="2174"/>
      <c r="AP40" s="2161"/>
      <c r="AQ40" s="2161"/>
      <c r="AR40" s="2162"/>
      <c r="AS40" s="2163" t="s">
        <v>400</v>
      </c>
      <c r="AT40" s="2166" t="s">
        <v>402</v>
      </c>
      <c r="AU40" s="2019"/>
    </row>
    <row r="41" spans="1:52" ht="33.75" customHeight="1">
      <c r="Q41" s="208"/>
      <c r="R41" s="304"/>
      <c r="S41" s="2159"/>
      <c r="T41" s="2107"/>
      <c r="U41" s="940"/>
      <c r="V41" s="2077" t="s">
        <v>446</v>
      </c>
      <c r="W41" s="2078"/>
      <c r="X41" s="2077" t="s">
        <v>406</v>
      </c>
      <c r="Y41" s="2179"/>
      <c r="Z41" s="2078"/>
      <c r="AA41" s="2202"/>
      <c r="AB41" s="2187"/>
      <c r="AC41" s="2188"/>
      <c r="AD41" s="2188"/>
      <c r="AE41" s="2200"/>
      <c r="AF41" s="2188"/>
      <c r="AG41" s="2188"/>
      <c r="AH41" s="2188"/>
      <c r="AI41" s="2200"/>
      <c r="AJ41" s="2187"/>
      <c r="AK41" s="2188"/>
      <c r="AL41" s="2188"/>
      <c r="AM41" s="2188"/>
      <c r="AN41" s="2019" t="s">
        <v>447</v>
      </c>
      <c r="AO41" s="2019"/>
      <c r="AP41" s="2179" t="s">
        <v>406</v>
      </c>
      <c r="AQ41" s="2179"/>
      <c r="AR41" s="2078"/>
      <c r="AS41" s="2164"/>
      <c r="AT41" s="2167"/>
      <c r="AU41" s="2019"/>
    </row>
    <row r="42" spans="1:52" ht="14.25" customHeight="1">
      <c r="Q42" s="208"/>
      <c r="R42" s="304"/>
      <c r="S42" s="2159"/>
      <c r="T42" s="2107"/>
      <c r="U42" s="940"/>
      <c r="V42" s="2082"/>
      <c r="W42" s="2083"/>
      <c r="X42" s="2082"/>
      <c r="Y42" s="2180"/>
      <c r="Z42" s="2083"/>
      <c r="AA42" s="2202"/>
      <c r="AB42" s="2187"/>
      <c r="AC42" s="2188"/>
      <c r="AD42" s="2188"/>
      <c r="AE42" s="2200"/>
      <c r="AF42" s="2188"/>
      <c r="AG42" s="2188"/>
      <c r="AH42" s="2188"/>
      <c r="AI42" s="2200"/>
      <c r="AJ42" s="2187"/>
      <c r="AK42" s="2188"/>
      <c r="AL42" s="2188"/>
      <c r="AM42" s="2188"/>
      <c r="AN42" s="2204"/>
      <c r="AO42" s="2204"/>
      <c r="AP42" s="2180"/>
      <c r="AQ42" s="2180"/>
      <c r="AR42" s="2083"/>
      <c r="AS42" s="2164"/>
      <c r="AT42" s="2167"/>
      <c r="AU42" s="2019"/>
    </row>
    <row r="43" spans="1:52" ht="14.25" customHeight="1">
      <c r="A43" s="1288"/>
      <c r="B43" s="1288" t="s">
        <v>117</v>
      </c>
      <c r="C43" s="1288" t="s">
        <v>118</v>
      </c>
      <c r="D43" s="1288" t="s">
        <v>119</v>
      </c>
      <c r="E43" s="1282" t="s">
        <v>407</v>
      </c>
      <c r="F43" s="1282" t="s">
        <v>408</v>
      </c>
      <c r="G43" s="1282" t="s">
        <v>409</v>
      </c>
      <c r="H43" s="1282" t="s">
        <v>410</v>
      </c>
      <c r="I43" s="1282" t="s">
        <v>411</v>
      </c>
      <c r="J43" s="1282" t="s">
        <v>412</v>
      </c>
      <c r="K43" s="1282" t="s">
        <v>413</v>
      </c>
      <c r="L43" s="1282" t="s">
        <v>388</v>
      </c>
      <c r="Q43" s="208"/>
      <c r="R43" s="304"/>
      <c r="S43" s="2159"/>
      <c r="T43" s="2107"/>
      <c r="U43" s="219"/>
      <c r="V43" s="1249" t="s">
        <v>448</v>
      </c>
      <c r="W43" s="1249" t="s">
        <v>449</v>
      </c>
      <c r="X43" s="1257" t="s">
        <v>416</v>
      </c>
      <c r="Y43" s="2112" t="s">
        <v>417</v>
      </c>
      <c r="Z43" s="2126"/>
      <c r="AA43" s="2203"/>
      <c r="AB43" s="2189"/>
      <c r="AC43" s="2190"/>
      <c r="AD43" s="2190"/>
      <c r="AE43" s="2191"/>
      <c r="AF43" s="2190"/>
      <c r="AG43" s="2190"/>
      <c r="AH43" s="2190"/>
      <c r="AI43" s="2191"/>
      <c r="AJ43" s="2189"/>
      <c r="AK43" s="2190"/>
      <c r="AL43" s="2190"/>
      <c r="AM43" s="2191"/>
      <c r="AN43" s="1772" t="s">
        <v>448</v>
      </c>
      <c r="AO43" s="1772" t="s">
        <v>449</v>
      </c>
      <c r="AP43" s="1257" t="s">
        <v>416</v>
      </c>
      <c r="AQ43" s="2112" t="s">
        <v>417</v>
      </c>
      <c r="AR43" s="2126"/>
      <c r="AS43" s="2165"/>
      <c r="AT43" s="2168"/>
      <c r="AU43" s="2019"/>
    </row>
    <row r="44" spans="1:52" s="1810" customFormat="1" ht="11.25" hidden="1" customHeight="1">
      <c r="A44" s="1288"/>
      <c r="B44" s="1288"/>
      <c r="C44" s="1288"/>
      <c r="D44" s="1288"/>
      <c r="E44" s="1288"/>
      <c r="F44" s="1288"/>
      <c r="G44" s="1288"/>
      <c r="H44" s="1288"/>
      <c r="I44" s="1288"/>
      <c r="J44" s="1288"/>
      <c r="K44" s="1288"/>
      <c r="L44" s="1282"/>
      <c r="M44" s="1280"/>
      <c r="N44" s="1280"/>
      <c r="O44" s="1280"/>
      <c r="P44" s="435"/>
      <c r="Q44" s="1173"/>
      <c r="R44" s="1173">
        <v>1</v>
      </c>
      <c r="S44" s="1199" t="s">
        <v>91</v>
      </c>
      <c r="T44" s="1174" t="s">
        <v>92</v>
      </c>
      <c r="U44" s="1156" t="str">
        <f ca="1">OFFSET(U44,0,-1)</f>
        <v>2</v>
      </c>
      <c r="V44" s="1254">
        <f ca="1">OFFSET(V44,0,-1)+1</f>
        <v>3</v>
      </c>
      <c r="W44" s="1254">
        <f ca="1">OFFSET(W44,0,-1)+1</f>
        <v>4</v>
      </c>
      <c r="X44" s="1254">
        <f ca="1">OFFSET(X44,0,-1)+1</f>
        <v>5</v>
      </c>
      <c r="Y44" s="2157">
        <f ca="1">OFFSET(Y44,0,-1)+1</f>
        <v>6</v>
      </c>
      <c r="Z44" s="2157"/>
      <c r="AA44" s="1254">
        <f ca="1">OFFSET(AA44,0,-2)+1</f>
        <v>7</v>
      </c>
      <c r="AB44" s="1260">
        <f ca="1">OFFSET(AB44,0,-1)+1</f>
        <v>8</v>
      </c>
      <c r="AC44" s="1260"/>
      <c r="AD44" s="1260"/>
      <c r="AE44" s="1260"/>
      <c r="AF44" s="1254"/>
      <c r="AG44" s="1254"/>
      <c r="AH44" s="1254"/>
      <c r="AI44" s="1254"/>
      <c r="AJ44" s="1254"/>
      <c r="AK44" s="1254"/>
      <c r="AL44" s="1254"/>
      <c r="AM44" s="1254"/>
      <c r="AN44" s="1254">
        <f ca="1">OFFSET(AN44,0,-1)+1</f>
        <v>1</v>
      </c>
      <c r="AO44" s="1254">
        <f ca="1">OFFSET(AO44,0,-1)+1</f>
        <v>2</v>
      </c>
      <c r="AP44" s="1254">
        <f ca="1">OFFSET(AP44,0,-1)+1</f>
        <v>3</v>
      </c>
      <c r="AQ44" s="2157">
        <f ca="1">OFFSET(AQ44,0,-1)+1</f>
        <v>4</v>
      </c>
      <c r="AR44" s="2157"/>
      <c r="AS44" s="1254">
        <f ca="1">OFFSET(AS44,0,-2)+1</f>
        <v>5</v>
      </c>
      <c r="AT44" s="1156">
        <f ca="1">OFFSET(AT44,0,-1)</f>
        <v>5</v>
      </c>
      <c r="AU44" s="1254">
        <f ca="1">OFFSET(AU44,0,-1)+1</f>
        <v>6</v>
      </c>
      <c r="AV44" s="436"/>
      <c r="AW44" s="436"/>
      <c r="AX44" s="436"/>
      <c r="AY44" s="436"/>
      <c r="AZ44" s="436"/>
    </row>
    <row r="45" spans="1:52" ht="102" customHeight="1">
      <c r="A45" s="1281" t="s">
        <v>180</v>
      </c>
      <c r="B45" s="1281"/>
      <c r="C45" s="1281"/>
      <c r="D45" s="1281"/>
      <c r="E45" s="2146">
        <v>1</v>
      </c>
      <c r="F45" s="1281"/>
      <c r="G45" s="1281"/>
      <c r="H45" s="1281"/>
      <c r="I45" s="1281"/>
      <c r="J45" s="1281"/>
      <c r="K45" s="1281"/>
      <c r="L45" s="1282"/>
      <c r="M45" s="1283"/>
      <c r="N45" s="1283"/>
      <c r="O45" s="1283"/>
      <c r="P45" s="1327"/>
      <c r="Q45" s="787"/>
      <c r="R45" s="279"/>
      <c r="S45" s="1255">
        <f>INDEX(PT_DIFFERENTIATION_NUM_NTAR,MATCH(A45,PT_DIFFERENTIATION_NTAR_ID,0))</f>
        <v>0</v>
      </c>
      <c r="T45" s="215" t="s">
        <v>105</v>
      </c>
      <c r="U45" s="217"/>
      <c r="V45" s="2141"/>
      <c r="W45" s="2141"/>
      <c r="X45" s="2141"/>
      <c r="Y45" s="2141"/>
      <c r="Z45" s="2141"/>
      <c r="AA45" s="2142"/>
      <c r="AB45" s="2140" t="str">
        <f>INDEX(PT_DIFFERENTIATION_NTAR,MATCH(A45,PT_DIFFERENTIATION_NTAR_ID,0))</f>
        <v/>
      </c>
      <c r="AC45" s="2141"/>
      <c r="AD45" s="2141"/>
      <c r="AE45" s="2141"/>
      <c r="AF45" s="2141"/>
      <c r="AG45" s="2141"/>
      <c r="AH45" s="2141"/>
      <c r="AI45" s="2141"/>
      <c r="AJ45" s="2141"/>
      <c r="AK45" s="2141"/>
      <c r="AL45" s="2141"/>
      <c r="AM45" s="2141"/>
      <c r="AN45" s="2141"/>
      <c r="AO45" s="2141"/>
      <c r="AP45" s="2141"/>
      <c r="AQ45" s="2141"/>
      <c r="AR45" s="2141"/>
      <c r="AS45" s="2141"/>
      <c r="AT45" s="2142"/>
      <c r="AU45" s="11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25"/>
      <c r="AX45" s="425" t="str">
        <f t="shared" ref="AX45:AX51" si="2">IF(T45="","",T45)</f>
        <v>Наименование тарифа</v>
      </c>
      <c r="AY45" s="425"/>
      <c r="AZ45" s="425"/>
    </row>
    <row r="46" spans="1:52" ht="21" customHeight="1">
      <c r="A46" s="1281" t="s">
        <v>180</v>
      </c>
      <c r="B46" s="1281" t="s">
        <v>181</v>
      </c>
      <c r="C46" s="1281"/>
      <c r="D46" s="1281"/>
      <c r="E46" s="2147"/>
      <c r="F46" s="2146">
        <v>1</v>
      </c>
      <c r="G46" s="1281"/>
      <c r="H46" s="1281"/>
      <c r="I46" s="1281"/>
      <c r="J46" s="1281"/>
      <c r="K46" s="1281"/>
      <c r="L46" s="1282"/>
      <c r="M46" s="1283"/>
      <c r="N46" s="1283"/>
      <c r="O46" s="1283"/>
      <c r="P46" s="1328"/>
      <c r="Q46" s="1329"/>
      <c r="R46" s="277"/>
      <c r="S46" s="1255" t="str">
        <f>INDEX(PT_DIFFERENTIATION_NUM_TER,MATCH(B46,PT_DIFFERENTIATION_TER_ID,0))</f>
        <v>.</v>
      </c>
      <c r="T46" s="227" t="s">
        <v>367</v>
      </c>
      <c r="U46" s="217"/>
      <c r="V46" s="2141"/>
      <c r="W46" s="2141"/>
      <c r="X46" s="2141"/>
      <c r="Y46" s="2141"/>
      <c r="Z46" s="2141"/>
      <c r="AA46" s="2142"/>
      <c r="AB46" s="2140" t="str">
        <f>INDEX(PT_DIFFERENTIATION_TER,MATCH(B46,PT_DIFFERENTIATION_TER_ID,0))</f>
        <v/>
      </c>
      <c r="AC46" s="2141"/>
      <c r="AD46" s="2141"/>
      <c r="AE46" s="2141"/>
      <c r="AF46" s="2141"/>
      <c r="AG46" s="2141"/>
      <c r="AH46" s="2141"/>
      <c r="AI46" s="2141"/>
      <c r="AJ46" s="2141"/>
      <c r="AK46" s="2141"/>
      <c r="AL46" s="2141"/>
      <c r="AM46" s="2141"/>
      <c r="AN46" s="2141"/>
      <c r="AO46" s="2141"/>
      <c r="AP46" s="2141"/>
      <c r="AQ46" s="2141"/>
      <c r="AR46" s="2141"/>
      <c r="AS46" s="2141"/>
      <c r="AT46" s="2142"/>
      <c r="AU46" s="1179" t="s">
        <v>368</v>
      </c>
      <c r="AW46" s="425"/>
      <c r="AX46" s="425" t="str">
        <f t="shared" si="2"/>
        <v>Территория действия тарифа</v>
      </c>
      <c r="AY46" s="425"/>
      <c r="AZ46" s="425"/>
    </row>
    <row r="47" spans="1:52" ht="23.25" customHeight="1">
      <c r="A47" s="1281" t="s">
        <v>180</v>
      </c>
      <c r="B47" s="1281" t="s">
        <v>181</v>
      </c>
      <c r="C47" s="1281" t="s">
        <v>182</v>
      </c>
      <c r="D47" s="1281"/>
      <c r="E47" s="2147"/>
      <c r="F47" s="2147"/>
      <c r="G47" s="2146">
        <v>1</v>
      </c>
      <c r="H47" s="1281"/>
      <c r="I47" s="1281"/>
      <c r="J47" s="1281"/>
      <c r="K47" s="1281"/>
      <c r="L47" s="1282"/>
      <c r="M47" s="1283"/>
      <c r="N47" s="1283"/>
      <c r="O47" s="1283"/>
      <c r="P47" s="1330"/>
      <c r="Q47" s="1329"/>
      <c r="R47" s="277"/>
      <c r="S47" s="1255" t="str">
        <f>INDEX(PT_DIFFERENTIATION_NUM_CS,MATCH(C47,PT_DIFFERENTIATION_CS_ID,0))</f>
        <v>..</v>
      </c>
      <c r="T47" s="228" t="s">
        <v>369</v>
      </c>
      <c r="U47" s="217"/>
      <c r="V47" s="2141"/>
      <c r="W47" s="2141"/>
      <c r="X47" s="2141"/>
      <c r="Y47" s="2141"/>
      <c r="Z47" s="2141"/>
      <c r="AA47" s="2142"/>
      <c r="AB47" s="2140" t="str">
        <f>INDEX(PT_DIFFERENTIATION_CS,MATCH(C47,PT_DIFFERENTIATION_CS_ID,0))</f>
        <v/>
      </c>
      <c r="AC47" s="2141"/>
      <c r="AD47" s="2141"/>
      <c r="AE47" s="2141"/>
      <c r="AF47" s="2141"/>
      <c r="AG47" s="2141"/>
      <c r="AH47" s="2141"/>
      <c r="AI47" s="2141"/>
      <c r="AJ47" s="2141"/>
      <c r="AK47" s="2141"/>
      <c r="AL47" s="2141"/>
      <c r="AM47" s="2141"/>
      <c r="AN47" s="2141"/>
      <c r="AO47" s="2141"/>
      <c r="AP47" s="2141"/>
      <c r="AQ47" s="2141"/>
      <c r="AR47" s="2141"/>
      <c r="AS47" s="2141"/>
      <c r="AT47" s="2142"/>
      <c r="AU47" s="1179" t="s">
        <v>370</v>
      </c>
      <c r="AW47" s="425"/>
      <c r="AX47" s="425" t="str">
        <f t="shared" si="2"/>
        <v xml:space="preserve">Наименование системы теплоснабжения </v>
      </c>
      <c r="AY47" s="425"/>
      <c r="AZ47" s="425"/>
    </row>
    <row r="48" spans="1:52" ht="21" customHeight="1">
      <c r="A48" s="1281" t="s">
        <v>180</v>
      </c>
      <c r="B48" s="1281" t="s">
        <v>181</v>
      </c>
      <c r="C48" s="1281" t="s">
        <v>182</v>
      </c>
      <c r="D48" s="1281" t="s">
        <v>183</v>
      </c>
      <c r="E48" s="2147"/>
      <c r="F48" s="2147"/>
      <c r="G48" s="2147"/>
      <c r="H48" s="2146">
        <v>1</v>
      </c>
      <c r="I48" s="1281"/>
      <c r="J48" s="1281"/>
      <c r="K48" s="1281"/>
      <c r="L48" s="1282"/>
      <c r="M48" s="1283"/>
      <c r="N48" s="1283"/>
      <c r="O48" s="1283"/>
      <c r="P48" s="1330"/>
      <c r="Q48" s="1329"/>
      <c r="R48" s="277"/>
      <c r="S48" s="1255" t="str">
        <f>INDEX(PT_DIFFERENTIATION_NUM_IST_TE,MATCH(D48,PT_DIFFERENTIATION_IST_TE_ID,0))</f>
        <v>...</v>
      </c>
      <c r="T48" s="229" t="s">
        <v>371</v>
      </c>
      <c r="U48" s="217"/>
      <c r="V48" s="2141"/>
      <c r="W48" s="2141"/>
      <c r="X48" s="2141"/>
      <c r="Y48" s="2141"/>
      <c r="Z48" s="2141"/>
      <c r="AA48" s="2142"/>
      <c r="AB48" s="2140" t="str">
        <f>INDEX(PT_DIFFERENTIATION_IST_TE,MATCH(D48,PT_DIFFERENTIATION_IST_TE_ID,0))</f>
        <v/>
      </c>
      <c r="AC48" s="2141"/>
      <c r="AD48" s="2141"/>
      <c r="AE48" s="2141"/>
      <c r="AF48" s="2141"/>
      <c r="AG48" s="2141"/>
      <c r="AH48" s="2141"/>
      <c r="AI48" s="2141"/>
      <c r="AJ48" s="2141"/>
      <c r="AK48" s="2141"/>
      <c r="AL48" s="2141"/>
      <c r="AM48" s="2141"/>
      <c r="AN48" s="2141"/>
      <c r="AO48" s="2141"/>
      <c r="AP48" s="2141"/>
      <c r="AQ48" s="2141"/>
      <c r="AR48" s="2141"/>
      <c r="AS48" s="2141"/>
      <c r="AT48" s="2142"/>
      <c r="AU48" s="1179" t="s">
        <v>372</v>
      </c>
      <c r="AW48" s="425"/>
      <c r="AX48" s="425" t="str">
        <f t="shared" si="2"/>
        <v xml:space="preserve">Источник тепловой энергии  </v>
      </c>
      <c r="AY48" s="425"/>
      <c r="AZ48" s="425"/>
    </row>
    <row r="49" spans="1:52" s="1811" customFormat="1" ht="0" hidden="1" customHeight="1">
      <c r="A49" s="1262" t="s">
        <v>180</v>
      </c>
      <c r="B49" s="1262" t="s">
        <v>181</v>
      </c>
      <c r="C49" s="1262" t="s">
        <v>182</v>
      </c>
      <c r="D49" s="1262" t="s">
        <v>183</v>
      </c>
      <c r="E49" s="2147"/>
      <c r="F49" s="2147"/>
      <c r="G49" s="2147"/>
      <c r="H49" s="2147"/>
      <c r="I49" s="2148" t="str">
        <f>S48&amp;".1"</f>
        <v>....1</v>
      </c>
      <c r="J49" s="1262"/>
      <c r="K49" s="1262"/>
      <c r="L49" s="1265" t="s">
        <v>373</v>
      </c>
      <c r="M49" s="435"/>
      <c r="N49" s="435"/>
      <c r="O49" s="435"/>
      <c r="P49" s="2150">
        <v>1</v>
      </c>
      <c r="Q49" s="1250"/>
      <c r="R49" s="280"/>
      <c r="S49" s="951"/>
      <c r="T49" s="1301"/>
      <c r="U49" s="1302"/>
      <c r="V49" s="2176"/>
      <c r="W49" s="2176"/>
      <c r="X49" s="2176"/>
      <c r="Y49" s="2176"/>
      <c r="Z49" s="2176"/>
      <c r="AA49" s="2177"/>
      <c r="AB49" s="2175"/>
      <c r="AC49" s="2176"/>
      <c r="AD49" s="2176"/>
      <c r="AE49" s="2176"/>
      <c r="AF49" s="2176"/>
      <c r="AG49" s="2176"/>
      <c r="AH49" s="2176"/>
      <c r="AI49" s="2176"/>
      <c r="AJ49" s="2176"/>
      <c r="AK49" s="2176"/>
      <c r="AL49" s="2176"/>
      <c r="AM49" s="2176"/>
      <c r="AN49" s="2176"/>
      <c r="AO49" s="2176"/>
      <c r="AP49" s="2176"/>
      <c r="AQ49" s="2176"/>
      <c r="AR49" s="2176"/>
      <c r="AS49" s="2176"/>
      <c r="AT49" s="2177"/>
      <c r="AU49" s="1303"/>
      <c r="AW49" s="425"/>
      <c r="AX49" s="425" t="str">
        <f t="shared" si="2"/>
        <v/>
      </c>
      <c r="AY49" s="425"/>
      <c r="AZ49" s="425"/>
    </row>
    <row r="50" spans="1:52" s="1811" customFormat="1" ht="0" hidden="1" customHeight="1">
      <c r="A50" s="1262" t="s">
        <v>180</v>
      </c>
      <c r="B50" s="1262" t="s">
        <v>181</v>
      </c>
      <c r="C50" s="1262" t="s">
        <v>182</v>
      </c>
      <c r="D50" s="1262" t="s">
        <v>183</v>
      </c>
      <c r="E50" s="2147"/>
      <c r="F50" s="2147"/>
      <c r="G50" s="2147"/>
      <c r="H50" s="2147"/>
      <c r="I50" s="2149"/>
      <c r="J50" s="2148" t="str">
        <f>S48&amp;".1"</f>
        <v>....1</v>
      </c>
      <c r="K50" s="1262"/>
      <c r="L50" s="1265"/>
      <c r="M50" s="435"/>
      <c r="N50" s="435"/>
      <c r="O50" s="435"/>
      <c r="P50" s="2150"/>
      <c r="Q50" s="2150">
        <v>1</v>
      </c>
      <c r="R50" s="281"/>
      <c r="S50" s="951"/>
      <c r="T50" s="1317"/>
      <c r="U50" s="1302"/>
      <c r="V50" s="2176"/>
      <c r="W50" s="2176"/>
      <c r="X50" s="2176"/>
      <c r="Y50" s="2176"/>
      <c r="Z50" s="2176"/>
      <c r="AA50" s="2177"/>
      <c r="AB50" s="2175"/>
      <c r="AC50" s="2176"/>
      <c r="AD50" s="2176"/>
      <c r="AE50" s="2176"/>
      <c r="AF50" s="2176"/>
      <c r="AG50" s="2176"/>
      <c r="AH50" s="2176"/>
      <c r="AI50" s="2176"/>
      <c r="AJ50" s="2176"/>
      <c r="AK50" s="2176"/>
      <c r="AL50" s="2176"/>
      <c r="AM50" s="2176"/>
      <c r="AN50" s="2176"/>
      <c r="AO50" s="2176"/>
      <c r="AP50" s="2176"/>
      <c r="AQ50" s="2176"/>
      <c r="AR50" s="2176"/>
      <c r="AS50" s="2176"/>
      <c r="AT50" s="2177"/>
      <c r="AU50" s="1303"/>
      <c r="AW50" s="425"/>
      <c r="AX50" s="425" t="str">
        <f t="shared" si="2"/>
        <v/>
      </c>
      <c r="AY50" s="425"/>
      <c r="AZ50" s="425"/>
    </row>
    <row r="51" spans="1:52" ht="21" customHeight="1">
      <c r="A51" s="1281" t="s">
        <v>180</v>
      </c>
      <c r="B51" s="1281" t="s">
        <v>181</v>
      </c>
      <c r="C51" s="1281" t="s">
        <v>182</v>
      </c>
      <c r="D51" s="1281" t="s">
        <v>183</v>
      </c>
      <c r="E51" s="2147"/>
      <c r="F51" s="2147"/>
      <c r="G51" s="2147"/>
      <c r="H51" s="2147"/>
      <c r="I51" s="2149"/>
      <c r="J51" s="2149"/>
      <c r="K51" s="2148" t="str">
        <f>S48&amp;".1"</f>
        <v>....1</v>
      </c>
      <c r="L51" s="1282"/>
      <c r="P51" s="2150"/>
      <c r="Q51" s="2150"/>
      <c r="R51" s="281">
        <v>1</v>
      </c>
      <c r="S51" s="2196" t="str">
        <f>$K51</f>
        <v>....1</v>
      </c>
      <c r="T51" s="2193"/>
      <c r="U51" s="217"/>
      <c r="V51" s="668"/>
      <c r="W51" s="1178"/>
      <c r="X51" s="1646"/>
      <c r="Y51" s="1374" t="s">
        <v>50</v>
      </c>
      <c r="Z51" s="1646"/>
      <c r="AA51" s="1374" t="s">
        <v>50</v>
      </c>
      <c r="AB51" s="2029" t="s">
        <v>48</v>
      </c>
      <c r="AC51" s="2192"/>
      <c r="AD51" s="2102">
        <v>1</v>
      </c>
      <c r="AE51" s="2184" t="s">
        <v>18</v>
      </c>
      <c r="AF51" s="2029" t="s">
        <v>48</v>
      </c>
      <c r="AG51" s="2192"/>
      <c r="AH51" s="2102">
        <v>1</v>
      </c>
      <c r="AI51" s="2184" t="s">
        <v>18</v>
      </c>
      <c r="AJ51" s="2029" t="s">
        <v>48</v>
      </c>
      <c r="AK51" s="230"/>
      <c r="AL51" s="1256">
        <v>1</v>
      </c>
      <c r="AM51" s="1320"/>
      <c r="AN51" s="668"/>
      <c r="AO51" s="1178"/>
      <c r="AP51" s="1646"/>
      <c r="AQ51" s="1374" t="s">
        <v>50</v>
      </c>
      <c r="AR51" s="1646"/>
      <c r="AS51" s="1374" t="s">
        <v>50</v>
      </c>
      <c r="AT51" s="1267"/>
      <c r="AU51" s="2169" t="s">
        <v>450</v>
      </c>
      <c r="AV51" s="436" t="e">
        <f ca="1">STRCHECKDATE(V54:AT54)</f>
        <v>#NAME?</v>
      </c>
      <c r="AW51" s="425"/>
      <c r="AX51" s="425" t="str">
        <f t="shared" si="2"/>
        <v/>
      </c>
      <c r="AY51" s="425"/>
      <c r="AZ51" s="425"/>
    </row>
    <row r="52" spans="1:52" ht="11.25" customHeight="1">
      <c r="A52" s="1281" t="s">
        <v>180</v>
      </c>
      <c r="B52" s="1281"/>
      <c r="C52" s="1281"/>
      <c r="D52" s="1281"/>
      <c r="E52" s="2147"/>
      <c r="F52" s="2147"/>
      <c r="G52" s="2147"/>
      <c r="H52" s="2147"/>
      <c r="I52" s="2149"/>
      <c r="J52" s="2149"/>
      <c r="K52" s="2148"/>
      <c r="L52" s="1282"/>
      <c r="P52" s="2150"/>
      <c r="Q52" s="2150"/>
      <c r="R52" s="281"/>
      <c r="S52" s="2197"/>
      <c r="T52" s="2194"/>
      <c r="U52" s="217"/>
      <c r="V52" s="1311"/>
      <c r="W52" s="1408"/>
      <c r="X52" s="1311"/>
      <c r="Y52" s="1311"/>
      <c r="Z52" s="1311"/>
      <c r="AA52" s="1311"/>
      <c r="AB52" s="2029"/>
      <c r="AC52" s="2192"/>
      <c r="AD52" s="2102"/>
      <c r="AE52" s="2184"/>
      <c r="AF52" s="2029"/>
      <c r="AG52" s="2192"/>
      <c r="AH52" s="2102"/>
      <c r="AI52" s="2184"/>
      <c r="AJ52" s="2029"/>
      <c r="AK52" s="237"/>
      <c r="AL52" s="349"/>
      <c r="AM52" s="348" t="s">
        <v>434</v>
      </c>
      <c r="AN52" s="1311"/>
      <c r="AO52" s="1408"/>
      <c r="AP52" s="1311"/>
      <c r="AQ52" s="1311"/>
      <c r="AR52" s="1311"/>
      <c r="AS52" s="1311"/>
      <c r="AT52" s="1308"/>
      <c r="AU52" s="2170"/>
      <c r="AW52" s="425"/>
      <c r="AX52" s="425"/>
      <c r="AY52" s="425"/>
      <c r="AZ52" s="425"/>
    </row>
    <row r="53" spans="1:52" ht="11.25" customHeight="1">
      <c r="A53" s="1281" t="s">
        <v>180</v>
      </c>
      <c r="B53" s="1281"/>
      <c r="C53" s="1281"/>
      <c r="D53" s="1281"/>
      <c r="E53" s="2147"/>
      <c r="F53" s="2147"/>
      <c r="G53" s="2147"/>
      <c r="H53" s="2147"/>
      <c r="I53" s="2149"/>
      <c r="J53" s="2149"/>
      <c r="K53" s="2148"/>
      <c r="L53" s="1282"/>
      <c r="P53" s="2150"/>
      <c r="Q53" s="2150"/>
      <c r="R53" s="281"/>
      <c r="S53" s="2197"/>
      <c r="T53" s="2194"/>
      <c r="U53" s="217"/>
      <c r="V53" s="1311"/>
      <c r="W53" s="1408"/>
      <c r="X53" s="1311"/>
      <c r="Y53" s="1311"/>
      <c r="Z53" s="1311"/>
      <c r="AA53" s="1311"/>
      <c r="AB53" s="2029"/>
      <c r="AC53" s="2192"/>
      <c r="AD53" s="2102"/>
      <c r="AE53" s="2184"/>
      <c r="AF53" s="2029"/>
      <c r="AG53" s="211"/>
      <c r="AH53" s="348"/>
      <c r="AI53" s="348" t="s">
        <v>435</v>
      </c>
      <c r="AJ53" s="1311"/>
      <c r="AK53" s="1311"/>
      <c r="AL53" s="1311"/>
      <c r="AM53" s="1311"/>
      <c r="AN53" s="1311"/>
      <c r="AO53" s="1408"/>
      <c r="AP53" s="1311"/>
      <c r="AQ53" s="1311"/>
      <c r="AR53" s="1311"/>
      <c r="AS53" s="1311"/>
      <c r="AT53" s="1308"/>
      <c r="AU53" s="2170"/>
      <c r="AW53" s="425"/>
      <c r="AX53" s="425"/>
      <c r="AY53" s="425"/>
      <c r="AZ53" s="425"/>
    </row>
    <row r="54" spans="1:52" ht="11.25" customHeight="1">
      <c r="A54" s="1281" t="s">
        <v>180</v>
      </c>
      <c r="B54" s="1281" t="s">
        <v>181</v>
      </c>
      <c r="C54" s="1281" t="s">
        <v>182</v>
      </c>
      <c r="D54" s="1281" t="s">
        <v>183</v>
      </c>
      <c r="E54" s="2147"/>
      <c r="F54" s="2147"/>
      <c r="G54" s="2147"/>
      <c r="H54" s="2147"/>
      <c r="I54" s="2149"/>
      <c r="J54" s="2149"/>
      <c r="K54" s="2148"/>
      <c r="L54" s="1282"/>
      <c r="P54" s="2150"/>
      <c r="Q54" s="2150"/>
      <c r="R54" s="281"/>
      <c r="S54" s="2198"/>
      <c r="T54" s="2195"/>
      <c r="U54" s="217"/>
      <c r="V54" s="1311"/>
      <c r="W54" s="1312" t="str">
        <f>X51&amp;"-"&amp;Z51</f>
        <v>-</v>
      </c>
      <c r="X54" s="1311"/>
      <c r="Y54" s="1311"/>
      <c r="Z54" s="1311"/>
      <c r="AA54" s="1311"/>
      <c r="AB54" s="2029"/>
      <c r="AC54" s="231"/>
      <c r="AD54" s="233"/>
      <c r="AE54" s="348" t="s">
        <v>436</v>
      </c>
      <c r="AF54" s="1311"/>
      <c r="AG54" s="1311"/>
      <c r="AH54" s="1311"/>
      <c r="AI54" s="1311"/>
      <c r="AJ54" s="1311"/>
      <c r="AK54" s="1311"/>
      <c r="AL54" s="1311"/>
      <c r="AM54" s="1311"/>
      <c r="AN54" s="1311"/>
      <c r="AO54" s="1312" t="str">
        <f>AP51&amp;"-"&amp;AR51</f>
        <v>-</v>
      </c>
      <c r="AP54" s="1311"/>
      <c r="AQ54" s="1311"/>
      <c r="AR54" s="1311"/>
      <c r="AS54" s="1311"/>
      <c r="AT54" s="1268"/>
      <c r="AU54" s="2170"/>
      <c r="AW54" s="425"/>
      <c r="AX54" s="425" t="str">
        <f t="shared" ref="AX54:AX62" si="3">IF(T54="","",T54)</f>
        <v/>
      </c>
      <c r="AY54" s="425"/>
      <c r="AZ54" s="425"/>
    </row>
    <row r="55" spans="1:52" ht="11.25" customHeight="1">
      <c r="A55" s="1281" t="s">
        <v>180</v>
      </c>
      <c r="B55" s="1281" t="s">
        <v>181</v>
      </c>
      <c r="C55" s="1281" t="s">
        <v>182</v>
      </c>
      <c r="D55" s="1281" t="s">
        <v>183</v>
      </c>
      <c r="E55" s="2147"/>
      <c r="F55" s="2147"/>
      <c r="G55" s="2147"/>
      <c r="H55" s="2147"/>
      <c r="I55" s="2149"/>
      <c r="J55" s="2148"/>
      <c r="K55" s="1281"/>
      <c r="L55" s="1282"/>
      <c r="P55" s="2150"/>
      <c r="Q55" s="2150"/>
      <c r="R55" s="280"/>
      <c r="S55" s="1200"/>
      <c r="T55" s="204" t="s">
        <v>437</v>
      </c>
      <c r="U55" s="294"/>
      <c r="V55" s="294"/>
      <c r="W55" s="294"/>
      <c r="X55" s="294"/>
      <c r="Y55" s="294"/>
      <c r="Z55" s="294"/>
      <c r="AA55" s="248"/>
      <c r="AB55" s="1417"/>
      <c r="AC55" s="294"/>
      <c r="AD55" s="294"/>
      <c r="AE55" s="294"/>
      <c r="AF55" s="294"/>
      <c r="AG55" s="294"/>
      <c r="AH55" s="294"/>
      <c r="AI55" s="294"/>
      <c r="AJ55" s="294"/>
      <c r="AK55" s="294"/>
      <c r="AL55" s="294"/>
      <c r="AM55" s="294"/>
      <c r="AN55" s="294"/>
      <c r="AO55" s="294"/>
      <c r="AP55" s="294"/>
      <c r="AQ55" s="294"/>
      <c r="AR55" s="294"/>
      <c r="AS55" s="294"/>
      <c r="AT55" s="248"/>
      <c r="AU55" s="2171"/>
      <c r="AW55" s="425"/>
      <c r="AX55" s="425" t="str">
        <f t="shared" si="3"/>
        <v>Добавить строку</v>
      </c>
      <c r="AY55" s="425"/>
      <c r="AZ55" s="425"/>
    </row>
    <row r="56" spans="1:52" s="1811" customFormat="1" ht="0" hidden="1" customHeight="1">
      <c r="A56" s="1262" t="s">
        <v>180</v>
      </c>
      <c r="B56" s="1262" t="s">
        <v>181</v>
      </c>
      <c r="C56" s="1262" t="s">
        <v>182</v>
      </c>
      <c r="D56" s="1262" t="s">
        <v>183</v>
      </c>
      <c r="E56" s="2147"/>
      <c r="F56" s="2147"/>
      <c r="G56" s="2147"/>
      <c r="H56" s="2147"/>
      <c r="I56" s="2148"/>
      <c r="J56" s="1262"/>
      <c r="K56" s="1262"/>
      <c r="L56" s="1265"/>
      <c r="M56" s="435"/>
      <c r="N56" s="435"/>
      <c r="O56" s="435"/>
      <c r="P56" s="2150"/>
      <c r="Q56" s="1250"/>
      <c r="R56" s="280"/>
      <c r="S56" s="1304"/>
      <c r="T56" s="1305" t="s">
        <v>382</v>
      </c>
      <c r="U56" s="1306"/>
      <c r="V56" s="1306"/>
      <c r="W56" s="1306"/>
      <c r="X56" s="1306"/>
      <c r="Y56" s="1306"/>
      <c r="Z56" s="1306"/>
      <c r="AA56" s="1306"/>
      <c r="AB56" s="1306"/>
      <c r="AC56" s="1306"/>
      <c r="AD56" s="1306"/>
      <c r="AE56" s="1306"/>
      <c r="AF56" s="1306"/>
      <c r="AG56" s="1306"/>
      <c r="AH56" s="1306"/>
      <c r="AI56" s="1306"/>
      <c r="AJ56" s="1306"/>
      <c r="AK56" s="1306"/>
      <c r="AL56" s="1306"/>
      <c r="AM56" s="1306"/>
      <c r="AN56" s="1306"/>
      <c r="AO56" s="1306"/>
      <c r="AP56" s="1306"/>
      <c r="AQ56" s="1306"/>
      <c r="AR56" s="1306"/>
      <c r="AS56" s="1306"/>
      <c r="AT56" s="1306"/>
      <c r="AU56" s="1307"/>
      <c r="AW56" s="425"/>
      <c r="AX56" s="425" t="str">
        <f t="shared" si="3"/>
        <v>Добавить группу потребителей</v>
      </c>
      <c r="AY56" s="425"/>
      <c r="AZ56" s="425"/>
    </row>
    <row r="57" spans="1:52" s="1810" customFormat="1" ht="0" hidden="1" customHeight="1">
      <c r="A57" s="1262" t="s">
        <v>180</v>
      </c>
      <c r="B57" s="1262" t="s">
        <v>181</v>
      </c>
      <c r="C57" s="1262" t="s">
        <v>182</v>
      </c>
      <c r="D57" s="1262" t="s">
        <v>183</v>
      </c>
      <c r="E57" s="2147"/>
      <c r="F57" s="2147"/>
      <c r="G57" s="2147"/>
      <c r="H57" s="2146"/>
      <c r="I57" s="1262"/>
      <c r="J57" s="1262"/>
      <c r="K57" s="1262"/>
      <c r="L57" s="1265"/>
      <c r="M57" s="1235"/>
      <c r="N57" s="1235"/>
      <c r="O57" s="443"/>
      <c r="P57" s="312"/>
      <c r="Q57" s="1263"/>
      <c r="R57" s="1318"/>
      <c r="S57" s="1304"/>
      <c r="T57" s="1305"/>
      <c r="U57" s="1306"/>
      <c r="V57" s="1306"/>
      <c r="W57" s="1306"/>
      <c r="X57" s="1306"/>
      <c r="Y57" s="1306"/>
      <c r="Z57" s="1306"/>
      <c r="AA57" s="1306"/>
      <c r="AB57" s="1306"/>
      <c r="AC57" s="1306"/>
      <c r="AD57" s="1306"/>
      <c r="AE57" s="1306"/>
      <c r="AF57" s="1306"/>
      <c r="AG57" s="1306"/>
      <c r="AH57" s="1306"/>
      <c r="AI57" s="1306"/>
      <c r="AJ57" s="1306"/>
      <c r="AK57" s="1306"/>
      <c r="AL57" s="1306"/>
      <c r="AM57" s="1306"/>
      <c r="AN57" s="1306"/>
      <c r="AO57" s="1306"/>
      <c r="AP57" s="1306"/>
      <c r="AQ57" s="1306"/>
      <c r="AR57" s="1306"/>
      <c r="AS57" s="1306"/>
      <c r="AT57" s="1306"/>
      <c r="AU57" s="1307"/>
      <c r="AV57" s="436"/>
      <c r="AW57" s="425"/>
      <c r="AX57" s="425" t="str">
        <f t="shared" si="3"/>
        <v/>
      </c>
      <c r="AY57" s="425"/>
      <c r="AZ57" s="425"/>
    </row>
    <row r="58" spans="1:52" s="1881" customFormat="1" ht="0" hidden="1" customHeight="1">
      <c r="A58" s="1262" t="s">
        <v>180</v>
      </c>
      <c r="B58" s="1262" t="s">
        <v>181</v>
      </c>
      <c r="C58" s="1262" t="s">
        <v>182</v>
      </c>
      <c r="D58" s="1234"/>
      <c r="E58" s="2147"/>
      <c r="F58" s="2147"/>
      <c r="G58" s="2146"/>
      <c r="H58" s="1234"/>
      <c r="I58" s="1234"/>
      <c r="J58" s="1234"/>
      <c r="K58" s="1234"/>
      <c r="L58" s="1258"/>
      <c r="M58" s="1235"/>
      <c r="N58" s="1235"/>
      <c r="P58" s="1236"/>
      <c r="Q58" s="1237"/>
      <c r="R58" s="1236"/>
      <c r="S58" s="1242"/>
      <c r="T58" s="1245" t="s">
        <v>384</v>
      </c>
      <c r="U58" s="1244"/>
      <c r="V58" s="1244"/>
      <c r="W58" s="1244"/>
      <c r="X58" s="1244"/>
      <c r="Y58" s="1244"/>
      <c r="Z58" s="1244"/>
      <c r="AA58" s="1244"/>
      <c r="AB58" s="1244"/>
      <c r="AC58" s="1244"/>
      <c r="AD58" s="1244"/>
      <c r="AE58" s="1244"/>
      <c r="AF58" s="1244"/>
      <c r="AG58" s="1244"/>
      <c r="AH58" s="1244"/>
      <c r="AI58" s="1244"/>
      <c r="AJ58" s="1244"/>
      <c r="AK58" s="1244"/>
      <c r="AL58" s="1244"/>
      <c r="AM58" s="1244"/>
      <c r="AN58" s="1244"/>
      <c r="AO58" s="1244"/>
      <c r="AP58" s="1244"/>
      <c r="AQ58" s="1244"/>
      <c r="AR58" s="1244"/>
      <c r="AS58" s="1244"/>
      <c r="AT58" s="1244"/>
      <c r="AU58" s="1244"/>
      <c r="AW58" s="707"/>
      <c r="AX58" s="707" t="str">
        <f t="shared" si="3"/>
        <v>Добавить источник для дифференциации</v>
      </c>
      <c r="AY58" s="707"/>
      <c r="AZ58" s="707"/>
    </row>
    <row r="59" spans="1:52" s="1881" customFormat="1" ht="0" hidden="1" customHeight="1">
      <c r="A59" s="1262" t="s">
        <v>180</v>
      </c>
      <c r="B59" s="1262" t="s">
        <v>181</v>
      </c>
      <c r="C59" s="1234"/>
      <c r="D59" s="1234"/>
      <c r="E59" s="2147"/>
      <c r="F59" s="2146"/>
      <c r="G59" s="1234"/>
      <c r="H59" s="1234"/>
      <c r="I59" s="1234"/>
      <c r="J59" s="1234"/>
      <c r="K59" s="1234"/>
      <c r="L59" s="1258"/>
      <c r="M59" s="1241"/>
      <c r="N59" s="1241"/>
      <c r="P59" s="1236"/>
      <c r="Q59" s="1237"/>
      <c r="R59" s="1236"/>
      <c r="S59" s="1242"/>
      <c r="T59" s="1245" t="s">
        <v>385</v>
      </c>
      <c r="U59" s="1244"/>
      <c r="V59" s="1244"/>
      <c r="W59" s="1244"/>
      <c r="X59" s="1244"/>
      <c r="Y59" s="1244"/>
      <c r="Z59" s="1244"/>
      <c r="AA59" s="1244"/>
      <c r="AB59" s="1244"/>
      <c r="AC59" s="1244"/>
      <c r="AD59" s="1244"/>
      <c r="AE59" s="1244"/>
      <c r="AF59" s="1244"/>
      <c r="AG59" s="1244"/>
      <c r="AH59" s="1244"/>
      <c r="AI59" s="1244"/>
      <c r="AJ59" s="1244"/>
      <c r="AK59" s="1244"/>
      <c r="AL59" s="1244"/>
      <c r="AM59" s="1244"/>
      <c r="AN59" s="1244"/>
      <c r="AO59" s="1244"/>
      <c r="AP59" s="1244"/>
      <c r="AQ59" s="1244"/>
      <c r="AR59" s="1244"/>
      <c r="AS59" s="1244"/>
      <c r="AT59" s="1244"/>
      <c r="AU59" s="1244"/>
      <c r="AW59" s="707"/>
      <c r="AX59" s="707" t="str">
        <f t="shared" si="3"/>
        <v>Добавить централизованную систему для дифференциации</v>
      </c>
      <c r="AY59" s="707"/>
      <c r="AZ59" s="707"/>
    </row>
    <row r="60" spans="1:52" s="1811" customFormat="1" ht="0" hidden="1" customHeight="1">
      <c r="A60" s="1262" t="s">
        <v>180</v>
      </c>
      <c r="B60" s="1262"/>
      <c r="C60" s="1262"/>
      <c r="D60" s="1262"/>
      <c r="E60" s="2147"/>
      <c r="F60" s="1262"/>
      <c r="G60" s="1262"/>
      <c r="H60" s="1262"/>
      <c r="I60" s="1262"/>
      <c r="J60" s="1262"/>
      <c r="K60" s="1262"/>
      <c r="L60" s="1265"/>
      <c r="M60" s="1241"/>
      <c r="N60" s="1241"/>
      <c r="O60" s="443"/>
      <c r="P60" s="312"/>
      <c r="Q60" s="1263"/>
      <c r="R60" s="312"/>
      <c r="S60" s="1242"/>
      <c r="T60" s="1245" t="s">
        <v>386</v>
      </c>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W60" s="425"/>
      <c r="AX60" s="425" t="str">
        <f t="shared" si="3"/>
        <v>Добавить территорию для дифференциации</v>
      </c>
      <c r="AY60" s="425"/>
      <c r="AZ60" s="425"/>
    </row>
    <row r="61" spans="1:52" s="1811" customFormat="1" ht="0" hidden="1" customHeight="1">
      <c r="A61" s="1262" t="s">
        <v>180</v>
      </c>
      <c r="B61" s="1262"/>
      <c r="C61" s="1262"/>
      <c r="D61" s="1262"/>
      <c r="E61" s="2146"/>
      <c r="F61" s="1262"/>
      <c r="G61" s="1262"/>
      <c r="H61" s="1262"/>
      <c r="I61" s="1262"/>
      <c r="J61" s="1262"/>
      <c r="K61" s="1262"/>
      <c r="L61" s="1265"/>
      <c r="M61" s="1241"/>
      <c r="N61" s="1241"/>
      <c r="O61" s="443"/>
      <c r="P61" s="312"/>
      <c r="Q61" s="1263"/>
      <c r="R61" s="312"/>
      <c r="S61" s="1242"/>
      <c r="T61" s="1245" t="s">
        <v>386</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W61" s="425"/>
      <c r="AX61" s="425" t="str">
        <f t="shared" si="3"/>
        <v>Добавить территорию для дифференциации</v>
      </c>
      <c r="AY61" s="425"/>
      <c r="AZ61" s="425"/>
    </row>
    <row r="62" spans="1:52" s="1881" customFormat="1" ht="0" hidden="1" customHeight="1">
      <c r="A62" s="1234"/>
      <c r="B62" s="1234"/>
      <c r="C62" s="1234"/>
      <c r="D62" s="1234"/>
      <c r="E62" s="1262"/>
      <c r="F62" s="1234"/>
      <c r="G62" s="1234"/>
      <c r="H62" s="1234"/>
      <c r="I62" s="1234"/>
      <c r="J62" s="1234"/>
      <c r="K62" s="1234"/>
      <c r="L62" s="1258"/>
      <c r="M62" s="1241"/>
      <c r="N62" s="1241"/>
      <c r="P62" s="1236"/>
      <c r="Q62" s="1237"/>
      <c r="R62" s="1236"/>
      <c r="S62" s="1242"/>
      <c r="T62" s="1245" t="s">
        <v>418</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W62" s="707"/>
      <c r="AX62" s="707" t="str">
        <f t="shared" si="3"/>
        <v>Добавить наименование тарифа</v>
      </c>
      <c r="AY62" s="707"/>
      <c r="AZ62" s="707"/>
    </row>
    <row r="63" spans="1:52" ht="11.25" customHeight="1">
      <c r="M63" s="1062"/>
      <c r="N63" s="1062"/>
      <c r="O63" s="461"/>
      <c r="P63" s="1062"/>
      <c r="Q63" s="1062"/>
      <c r="R63" s="1057"/>
      <c r="S63" s="1057"/>
      <c r="AV63" s="1057"/>
      <c r="AW63" s="1057"/>
      <c r="AX63" s="1057"/>
      <c r="AY63" s="1057"/>
      <c r="AZ63" s="1057"/>
    </row>
    <row r="64" spans="1:52" ht="18.75" customHeight="1">
      <c r="O64" s="461"/>
      <c r="S64" s="1166"/>
      <c r="T64" s="2145"/>
      <c r="U64" s="2145"/>
      <c r="V64" s="2145"/>
      <c r="W64" s="2145"/>
      <c r="X64" s="2145"/>
      <c r="Y64" s="2145"/>
      <c r="Z64" s="2145"/>
      <c r="AA64" s="2145"/>
      <c r="AB64" s="2145"/>
      <c r="AC64" s="2145"/>
      <c r="AD64" s="2145"/>
      <c r="AE64" s="2145"/>
      <c r="AF64" s="2145"/>
      <c r="AG64" s="2145"/>
      <c r="AH64" s="2145"/>
      <c r="AI64" s="2145"/>
      <c r="AJ64" s="2145"/>
      <c r="AK64" s="2145"/>
      <c r="AL64" s="2145"/>
      <c r="AM64" s="2145"/>
      <c r="AN64" s="2145"/>
      <c r="AO64" s="2145"/>
      <c r="AP64" s="2145"/>
      <c r="AQ64" s="2145"/>
      <c r="AR64" s="2145"/>
      <c r="AS64" s="2145"/>
      <c r="AT64" s="2145"/>
      <c r="AU64" s="2145"/>
    </row>
    <row r="65" spans="15:47" ht="19.5" customHeight="1">
      <c r="O65" s="461"/>
      <c r="T65" s="2145"/>
      <c r="U65" s="2145"/>
      <c r="V65" s="2145"/>
      <c r="W65" s="2145"/>
      <c r="X65" s="2145"/>
      <c r="Y65" s="2145"/>
      <c r="Z65" s="2145"/>
      <c r="AA65" s="2145"/>
      <c r="AB65" s="2145"/>
      <c r="AC65" s="2145"/>
      <c r="AD65" s="2145"/>
      <c r="AE65" s="2145"/>
      <c r="AF65" s="2145"/>
      <c r="AG65" s="2145"/>
      <c r="AH65" s="2145"/>
      <c r="AI65" s="2145"/>
      <c r="AJ65" s="2145"/>
      <c r="AK65" s="2145"/>
      <c r="AL65" s="2145"/>
      <c r="AM65" s="2145"/>
      <c r="AN65" s="2145"/>
      <c r="AO65" s="2145"/>
      <c r="AP65" s="2145"/>
      <c r="AQ65" s="2145"/>
      <c r="AR65" s="2145"/>
      <c r="AS65" s="2145"/>
      <c r="AT65" s="2145"/>
      <c r="AU65" s="2145"/>
    </row>
    <row r="66" spans="15:47" ht="14.25" customHeight="1">
      <c r="O66" s="461"/>
      <c r="T66" s="1252"/>
      <c r="U66" s="1252"/>
      <c r="V66" s="1252"/>
      <c r="W66" s="1252"/>
      <c r="X66" s="1252"/>
      <c r="Y66" s="1252"/>
      <c r="Z66" s="1252"/>
      <c r="AA66" s="1252"/>
      <c r="AB66" s="1252"/>
      <c r="AC66" s="1252"/>
      <c r="AD66" s="1252"/>
      <c r="AE66" s="1252"/>
      <c r="AF66" s="1252"/>
      <c r="AG66" s="1252"/>
      <c r="AH66" s="1252"/>
      <c r="AI66" s="1252"/>
      <c r="AJ66" s="1252"/>
      <c r="AK66" s="1252"/>
      <c r="AL66" s="1252"/>
      <c r="AM66" s="1252"/>
      <c r="AN66" s="1252"/>
      <c r="AO66" s="1252"/>
      <c r="AP66" s="1252"/>
      <c r="AQ66" s="1252"/>
      <c r="AR66" s="1252"/>
      <c r="AS66" s="1252"/>
      <c r="AT66" s="1252"/>
      <c r="AU66" s="1252"/>
    </row>
    <row r="67" spans="15:47" ht="18.75" customHeight="1">
      <c r="O67" s="461"/>
      <c r="T67" s="2145"/>
      <c r="U67" s="2145"/>
      <c r="V67" s="2145"/>
      <c r="W67" s="2145"/>
      <c r="X67" s="2145"/>
      <c r="Y67" s="2145"/>
      <c r="Z67" s="2145"/>
      <c r="AA67" s="2145"/>
      <c r="AB67" s="2145"/>
      <c r="AC67" s="2145"/>
      <c r="AD67" s="2145"/>
      <c r="AE67" s="2145"/>
      <c r="AF67" s="2145"/>
      <c r="AG67" s="2145"/>
      <c r="AH67" s="2145"/>
      <c r="AI67" s="2145"/>
      <c r="AJ67" s="2145"/>
      <c r="AK67" s="2145"/>
      <c r="AL67" s="2145"/>
      <c r="AM67" s="2145"/>
      <c r="AN67" s="2145"/>
      <c r="AO67" s="2145"/>
      <c r="AP67" s="2145"/>
      <c r="AQ67" s="2145"/>
      <c r="AR67" s="2145"/>
      <c r="AS67" s="2145"/>
      <c r="AT67" s="2145"/>
      <c r="AU67" s="2145"/>
    </row>
    <row r="68" spans="15:47" ht="15.75" customHeight="1">
      <c r="O68" s="461"/>
      <c r="T68" s="2145"/>
      <c r="U68" s="2145"/>
      <c r="V68" s="2145"/>
      <c r="W68" s="2145"/>
      <c r="X68" s="2145"/>
      <c r="Y68" s="2145"/>
      <c r="Z68" s="2145"/>
      <c r="AA68" s="2145"/>
      <c r="AB68" s="2145"/>
      <c r="AC68" s="2145"/>
      <c r="AD68" s="2145"/>
      <c r="AE68" s="2145"/>
      <c r="AF68" s="2145"/>
      <c r="AG68" s="2145"/>
      <c r="AH68" s="2145"/>
      <c r="AI68" s="2145"/>
      <c r="AJ68" s="2145"/>
      <c r="AK68" s="2145"/>
      <c r="AL68" s="2145"/>
      <c r="AM68" s="2145"/>
      <c r="AN68" s="2145"/>
      <c r="AO68" s="2145"/>
      <c r="AP68" s="2145"/>
      <c r="AQ68" s="2145"/>
      <c r="AR68" s="2145"/>
      <c r="AS68" s="2145"/>
      <c r="AT68" s="2145"/>
      <c r="AU68" s="2145"/>
    </row>
    <row r="69" spans="15:47" ht="14.25" customHeight="1">
      <c r="O69" s="461"/>
    </row>
  </sheetData>
  <sheetProtection formatColumns="0" formatRows="0" insertRows="0" deleteColumns="0" deleteRows="0" sort="0" autoFilter="0"/>
  <mergeCells count="118">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6" hidden="1" customWidth="1"/>
    <col min="13" max="14" width="12.28515625" style="1884" hidden="1" customWidth="1"/>
    <col min="15" max="15" width="23.42578125" style="1884" hidden="1" customWidth="1"/>
    <col min="16" max="16" width="3.7109375" style="1897"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6">
        <v>1</v>
      </c>
      <c r="F2" s="1281"/>
      <c r="G2" s="1281"/>
      <c r="H2" s="1281"/>
      <c r="I2" s="1281"/>
      <c r="J2" s="1281"/>
      <c r="K2" s="1281"/>
      <c r="L2" s="1282"/>
      <c r="M2" s="1283"/>
      <c r="N2" s="1283"/>
      <c r="O2" s="1283"/>
      <c r="P2" s="285"/>
      <c r="Q2" s="284"/>
      <c r="R2" s="279"/>
      <c r="S2" s="1342" t="e">
        <f>INDEX(PT_DIFFERENTIATION_NUM_NTAR,MATCH(A2,PT_DIFFERENTIATION_NTAR_ID,0))</f>
        <v>#N/A</v>
      </c>
      <c r="T2" s="215" t="s">
        <v>105</v>
      </c>
      <c r="U2" s="217"/>
      <c r="V2" s="2140"/>
      <c r="W2" s="2141"/>
      <c r="X2" s="2141"/>
      <c r="Y2" s="2141"/>
      <c r="Z2" s="2141"/>
      <c r="AA2" s="2141"/>
      <c r="AB2" s="2142"/>
      <c r="AC2" s="2140" t="e">
        <f>INDEX(PT_DIFFERENTIATION_NTAR,MATCH(A2,PT_DIFFERENTIATION_NTAR_ID,0))</f>
        <v>#N/A</v>
      </c>
      <c r="AD2" s="2141"/>
      <c r="AE2" s="2141"/>
      <c r="AF2" s="2141"/>
      <c r="AG2" s="2141"/>
      <c r="AH2" s="2141"/>
      <c r="AI2" s="2141"/>
      <c r="AJ2" s="2142"/>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7"/>
      <c r="F3" s="2146">
        <v>1</v>
      </c>
      <c r="G3" s="1281"/>
      <c r="H3" s="1281"/>
      <c r="I3" s="1281"/>
      <c r="J3" s="1281"/>
      <c r="K3" s="1281"/>
      <c r="L3" s="1282"/>
      <c r="M3" s="1283"/>
      <c r="N3" s="1283"/>
      <c r="O3" s="1283"/>
      <c r="P3" s="1340"/>
      <c r="Q3" s="276"/>
      <c r="R3" s="277"/>
      <c r="S3" s="1342" t="e">
        <f>INDEX(PT_DIFFERENTIATION_NUM_TER,MATCH(B3,PT_DIFFERENTIATION_TER_ID,0))</f>
        <v>#N/A</v>
      </c>
      <c r="T3" s="227" t="s">
        <v>367</v>
      </c>
      <c r="U3" s="217"/>
      <c r="V3" s="2140"/>
      <c r="W3" s="2141"/>
      <c r="X3" s="2141"/>
      <c r="Y3" s="2141"/>
      <c r="Z3" s="2141"/>
      <c r="AA3" s="2141"/>
      <c r="AB3" s="2142"/>
      <c r="AC3" s="2140" t="e">
        <f>INDEX(PT_DIFFERENTIATION_TER,MATCH(B3,PT_DIFFERENTIATION_TER_ID,0))</f>
        <v>#N/A</v>
      </c>
      <c r="AD3" s="2141"/>
      <c r="AE3" s="2141"/>
      <c r="AF3" s="2141"/>
      <c r="AG3" s="2141"/>
      <c r="AH3" s="2141"/>
      <c r="AI3" s="2141"/>
      <c r="AJ3" s="2142"/>
      <c r="AK3" s="1179" t="s">
        <v>368</v>
      </c>
      <c r="AM3" s="425"/>
      <c r="AN3" s="425" t="str">
        <f t="shared" si="0"/>
        <v>Территория действия тарифа</v>
      </c>
      <c r="AO3" s="425"/>
      <c r="AP3" s="425"/>
    </row>
    <row r="4" spans="1:42" ht="23.25" hidden="1" customHeight="1">
      <c r="A4" s="1281"/>
      <c r="B4" s="1281"/>
      <c r="C4" s="1281"/>
      <c r="D4" s="1281"/>
      <c r="E4" s="2147"/>
      <c r="F4" s="2147"/>
      <c r="G4" s="2146">
        <v>1</v>
      </c>
      <c r="H4" s="1281"/>
      <c r="I4" s="1281"/>
      <c r="J4" s="1281"/>
      <c r="K4" s="1281"/>
      <c r="L4" s="1282"/>
      <c r="M4" s="1283"/>
      <c r="N4" s="1283"/>
      <c r="O4" s="1283"/>
      <c r="P4" s="278"/>
      <c r="Q4" s="276"/>
      <c r="R4" s="277"/>
      <c r="S4" s="1342" t="e">
        <f>INDEX(PT_DIFFERENTIATION_NUM_CS,MATCH(C4,PT_DIFFERENTIATION_CS_ID,0))</f>
        <v>#N/A</v>
      </c>
      <c r="T4" s="228" t="s">
        <v>451</v>
      </c>
      <c r="U4" s="217"/>
      <c r="V4" s="2140"/>
      <c r="W4" s="2141"/>
      <c r="X4" s="2141"/>
      <c r="Y4" s="2141"/>
      <c r="Z4" s="2141"/>
      <c r="AA4" s="2141"/>
      <c r="AB4" s="2142"/>
      <c r="AC4" s="2140" t="e">
        <f>INDEX(PT_DIFFERENTIATION_CS,MATCH(C4,PT_DIFFERENTIATION_CS_ID,0))</f>
        <v>#N/A</v>
      </c>
      <c r="AD4" s="2141"/>
      <c r="AE4" s="2141"/>
      <c r="AF4" s="2141"/>
      <c r="AG4" s="2141"/>
      <c r="AH4" s="2141"/>
      <c r="AI4" s="2141"/>
      <c r="AJ4" s="2142"/>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7"/>
      <c r="F5" s="2147"/>
      <c r="G5" s="2147"/>
      <c r="H5" s="2147"/>
      <c r="I5" s="2148" t="e">
        <f>S4&amp;".1"</f>
        <v>#N/A</v>
      </c>
      <c r="J5" s="1281"/>
      <c r="K5" s="1281"/>
      <c r="L5" s="1282"/>
      <c r="P5" s="2150">
        <v>1</v>
      </c>
      <c r="Q5" s="1339"/>
      <c r="R5" s="280"/>
      <c r="S5" s="1342"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7"/>
      <c r="F6" s="2147"/>
      <c r="G6" s="2147"/>
      <c r="H6" s="2147"/>
      <c r="I6" s="2149"/>
      <c r="J6" s="2148" t="e">
        <f>I5&amp;".1"</f>
        <v>#N/A</v>
      </c>
      <c r="K6" s="1281"/>
      <c r="L6" s="1282" t="s">
        <v>376</v>
      </c>
      <c r="P6" s="2150"/>
      <c r="Q6" s="2150">
        <v>1</v>
      </c>
      <c r="R6" s="281"/>
      <c r="S6" s="1342" t="e">
        <f>$J6</f>
        <v>#N/A</v>
      </c>
      <c r="T6" s="203" t="s">
        <v>377</v>
      </c>
      <c r="U6" s="217"/>
      <c r="V6" s="2134"/>
      <c r="W6" s="2135"/>
      <c r="X6" s="2135"/>
      <c r="Y6" s="2135"/>
      <c r="Z6" s="2135"/>
      <c r="AA6" s="2135"/>
      <c r="AB6" s="2136"/>
      <c r="AC6" s="2134"/>
      <c r="AD6" s="2135"/>
      <c r="AE6" s="2135"/>
      <c r="AF6" s="2135"/>
      <c r="AG6" s="2135"/>
      <c r="AH6" s="2135"/>
      <c r="AI6" s="2135"/>
      <c r="AJ6" s="2136"/>
      <c r="AK6" s="1228" t="s">
        <v>455</v>
      </c>
      <c r="AM6" s="425"/>
      <c r="AN6" s="425" t="str">
        <f t="shared" si="0"/>
        <v>Группа потребителей</v>
      </c>
      <c r="AO6" s="425"/>
      <c r="AP6" s="425"/>
    </row>
    <row r="7" spans="1:42" ht="23.25" hidden="1" customHeight="1">
      <c r="A7" s="1281"/>
      <c r="B7" s="1281"/>
      <c r="C7" s="1281"/>
      <c r="D7" s="1281"/>
      <c r="E7" s="2147"/>
      <c r="F7" s="2147"/>
      <c r="G7" s="2147"/>
      <c r="H7" s="2147"/>
      <c r="I7" s="2149"/>
      <c r="J7" s="2149"/>
      <c r="K7" s="2148" t="e">
        <f>J6&amp;".1"</f>
        <v>#N/A</v>
      </c>
      <c r="L7" s="1282"/>
      <c r="P7" s="2150"/>
      <c r="Q7" s="2150"/>
      <c r="R7" s="281">
        <v>1</v>
      </c>
      <c r="S7" s="1342" t="e">
        <f>$K7</f>
        <v>#N/A</v>
      </c>
      <c r="T7" s="1354"/>
      <c r="U7" s="217"/>
      <c r="V7" s="668"/>
      <c r="W7" s="668"/>
      <c r="X7" s="1178"/>
      <c r="Y7" s="2151"/>
      <c r="Z7" s="2029" t="s">
        <v>50</v>
      </c>
      <c r="AA7" s="2151"/>
      <c r="AB7" s="2029" t="s">
        <v>50</v>
      </c>
      <c r="AC7" s="668"/>
      <c r="AD7" s="668"/>
      <c r="AE7" s="1178"/>
      <c r="AF7" s="2151"/>
      <c r="AG7" s="2029" t="s">
        <v>50</v>
      </c>
      <c r="AH7" s="2153"/>
      <c r="AI7" s="2029" t="s">
        <v>50</v>
      </c>
      <c r="AJ7" s="1355"/>
      <c r="AK7"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7"/>
      <c r="F8" s="2147"/>
      <c r="G8" s="2147"/>
      <c r="H8" s="2147"/>
      <c r="I8" s="2149"/>
      <c r="J8" s="2149"/>
      <c r="K8" s="2148"/>
      <c r="L8" s="1282"/>
      <c r="P8" s="2150"/>
      <c r="Q8" s="2150"/>
      <c r="R8" s="281"/>
      <c r="S8" s="1341"/>
      <c r="T8" s="217"/>
      <c r="U8" s="217"/>
      <c r="V8" s="249"/>
      <c r="W8" s="249"/>
      <c r="X8" s="253" t="str">
        <f>Y7&amp;"-"&amp;AA7</f>
        <v>-</v>
      </c>
      <c r="Y8" s="2152"/>
      <c r="Z8" s="2029"/>
      <c r="AA8" s="2152"/>
      <c r="AB8" s="2029"/>
      <c r="AC8" s="249"/>
      <c r="AD8" s="249"/>
      <c r="AE8" s="253" t="str">
        <f>AF7&amp;"-"&amp;AH7</f>
        <v>-</v>
      </c>
      <c r="AF8" s="2152"/>
      <c r="AG8" s="2029"/>
      <c r="AH8" s="2154"/>
      <c r="AI8" s="2029"/>
      <c r="AJ8" s="1356"/>
      <c r="AK8" s="2212"/>
      <c r="AM8" s="425"/>
      <c r="AN8" s="425" t="str">
        <f t="shared" si="0"/>
        <v/>
      </c>
      <c r="AO8" s="425"/>
      <c r="AP8" s="425"/>
    </row>
    <row r="9" spans="1:42" ht="21" hidden="1" customHeight="1">
      <c r="A9" s="1281"/>
      <c r="B9" s="1281"/>
      <c r="C9" s="1281"/>
      <c r="D9" s="1281"/>
      <c r="E9" s="2147"/>
      <c r="F9" s="2147"/>
      <c r="G9" s="2147"/>
      <c r="H9" s="2147"/>
      <c r="I9" s="2149"/>
      <c r="J9" s="2148"/>
      <c r="K9" s="1281"/>
      <c r="L9" s="1282"/>
      <c r="P9" s="2150"/>
      <c r="Q9" s="2150"/>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7"/>
      <c r="F10" s="2147"/>
      <c r="G10" s="2147"/>
      <c r="H10" s="2147"/>
      <c r="I10" s="2148"/>
      <c r="J10" s="1281"/>
      <c r="K10" s="1281"/>
      <c r="L10" s="1282"/>
      <c r="P10" s="2150"/>
      <c r="Q10" s="1339"/>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14.25" hidden="1" customHeight="1">
      <c r="A11" s="1281"/>
      <c r="B11" s="1281"/>
      <c r="C11" s="1281"/>
      <c r="D11" s="1281"/>
      <c r="E11" s="2147"/>
      <c r="F11" s="2147"/>
      <c r="G11" s="2147"/>
      <c r="H11" s="2146"/>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7"/>
      <c r="F12" s="2146"/>
      <c r="G12" s="1234"/>
      <c r="H12" s="1234"/>
      <c r="I12" s="1234"/>
      <c r="J12" s="1234"/>
      <c r="K12" s="1234"/>
      <c r="L12" s="134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6"/>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4"/>
      <c r="AG15" s="2143" t="s">
        <v>50</v>
      </c>
      <c r="AH15" s="2144"/>
      <c r="AI15" s="2143" t="s">
        <v>50</v>
      </c>
    </row>
    <row r="16" spans="1:42" ht="14.25" hidden="1" customHeight="1">
      <c r="AC16" s="1278"/>
      <c r="AD16" s="1278"/>
      <c r="AE16" s="253" t="str">
        <f>AF15&amp;"-"&amp;AH15</f>
        <v>-</v>
      </c>
      <c r="AF16" s="2143"/>
      <c r="AG16" s="2143"/>
      <c r="AH16" s="2143"/>
      <c r="AI16" s="2143"/>
    </row>
    <row r="17" spans="1:42" ht="14.25" hidden="1" customHeight="1">
      <c r="AI17" s="252"/>
    </row>
    <row r="18" spans="1:42" s="1882" customFormat="1" ht="22.5" hidden="1" customHeight="1">
      <c r="L18" s="1338"/>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38"/>
      <c r="M19" s="1280"/>
      <c r="N19" s="1280"/>
      <c r="O19" s="1280"/>
      <c r="P19" s="1280"/>
      <c r="Q19" s="1289"/>
      <c r="R19" s="1289"/>
      <c r="S19" s="648"/>
      <c r="AB19" s="1284"/>
      <c r="AI19" s="1284"/>
      <c r="AL19" s="436"/>
      <c r="AM19" s="436"/>
      <c r="AN19" s="436"/>
      <c r="AO19" s="436"/>
      <c r="AP19" s="436"/>
    </row>
    <row r="20" spans="1:42" s="1882" customFormat="1" ht="12" hidden="1" customHeight="1">
      <c r="L20" s="1338"/>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2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7"/>
      <c r="U24" s="2127"/>
      <c r="V24" s="2127"/>
      <c r="W24" s="2127"/>
      <c r="X24" s="2127"/>
      <c r="Y24" s="2127"/>
      <c r="Z24" s="2127"/>
      <c r="AA24" s="2127"/>
      <c r="AB24" s="2127"/>
      <c r="AC24" s="2127"/>
      <c r="AD24" s="2127"/>
      <c r="AE24" s="2127"/>
      <c r="AF24" s="2127"/>
      <c r="AG24" s="2127"/>
      <c r="AH24" s="2127"/>
      <c r="AI24" s="1154"/>
    </row>
    <row r="25" spans="1:42" ht="14.25" customHeight="1">
      <c r="Q25" s="304"/>
      <c r="R25" s="304"/>
      <c r="S25" s="2098" t="str">
        <f>IF(org=0,"Не определено",org)</f>
        <v>ООО "Горводоканал"</v>
      </c>
      <c r="T25" s="2098"/>
      <c r="U25" s="2098"/>
      <c r="V25" s="2098"/>
      <c r="W25" s="2098"/>
      <c r="X25" s="2098"/>
      <c r="Y25" s="2098"/>
      <c r="Z25" s="2098"/>
      <c r="AA25" s="2098"/>
      <c r="AB25" s="2098"/>
      <c r="AC25" s="2098"/>
      <c r="AD25" s="2098"/>
      <c r="AE25" s="2098"/>
      <c r="AF25" s="2098"/>
      <c r="AG25" s="2098"/>
      <c r="AH25" s="2098"/>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7" t="s">
        <v>37</v>
      </c>
      <c r="T27" s="2137"/>
      <c r="U27" s="1290"/>
      <c r="V27" s="2139" t="str">
        <f>IF(TITLE_NAME_OR_PR_CHANGE="",IF(TITLE_NAME_OR_PR="","",TITLE_NAME_OR_PR),TITLE_NAME_OR_PR_CHANGE)</f>
        <v/>
      </c>
      <c r="W27" s="2139"/>
      <c r="X27" s="2139"/>
      <c r="Y27" s="2139"/>
      <c r="Z27" s="2139"/>
      <c r="AA27" s="2139"/>
      <c r="AB27" s="251"/>
      <c r="AC27" s="2139" t="str">
        <f>IF(TITLE_NAME_OR_PR_CHANGE="",IF(TITLE_NAME_OR_PR="","",TITLE_NAME_OR_PR),TITLE_NAME_OR_PR_CHANGE)</f>
        <v/>
      </c>
      <c r="AD27" s="2139"/>
      <c r="AE27" s="2139"/>
      <c r="AF27" s="2139"/>
      <c r="AG27" s="2139"/>
      <c r="AH27" s="2139"/>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7" t="s">
        <v>393</v>
      </c>
      <c r="T28" s="2137"/>
      <c r="U28" s="1290"/>
      <c r="V28" s="2138" t="str">
        <f>IF(TITLE_DATE_PR_CHANGE="",IF(TITLE_DATE_PR="","",TITLE_DATE_PR),TITLE_DATE_PR_CHANGE)</f>
        <v/>
      </c>
      <c r="W28" s="2138"/>
      <c r="X28" s="2138"/>
      <c r="Y28" s="2138"/>
      <c r="Z28" s="2138"/>
      <c r="AA28" s="2138"/>
      <c r="AB28" s="251"/>
      <c r="AC28" s="2138" t="str">
        <f>IF(TITLE_DATE_PR_CHANGE="",IF(TITLE_DATE_PR="","",TITLE_DATE_PR),TITLE_DATE_PR_CHANGE)</f>
        <v/>
      </c>
      <c r="AD28" s="2138"/>
      <c r="AE28" s="2138"/>
      <c r="AF28" s="2138"/>
      <c r="AG28" s="2138"/>
      <c r="AH28" s="2138"/>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7" t="s">
        <v>394</v>
      </c>
      <c r="T29" s="2137"/>
      <c r="U29" s="1290"/>
      <c r="V29" s="2139" t="str">
        <f>IF(TITLE_NUMBER_PR_CHANGE="",IF(TITLE_NUMBER_PR="","",TITLE_NUMBER_PR),TITLE_NUMBER_PR_CHANGE)</f>
        <v/>
      </c>
      <c r="W29" s="2139"/>
      <c r="X29" s="2139"/>
      <c r="Y29" s="2139"/>
      <c r="Z29" s="2139"/>
      <c r="AA29" s="2139"/>
      <c r="AB29" s="251"/>
      <c r="AC29" s="2139" t="str">
        <f>IF(TITLE_NUMBER_PR_CHANGE="",IF(TITLE_NUMBER_PR="","",TITLE_NUMBER_PR),TITLE_NUMBER_PR_CHANGE)</f>
        <v/>
      </c>
      <c r="AD29" s="2139"/>
      <c r="AE29" s="2139"/>
      <c r="AF29" s="2139"/>
      <c r="AG29" s="2139"/>
      <c r="AH29" s="2139"/>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7" t="s">
        <v>38</v>
      </c>
      <c r="T30" s="2137"/>
      <c r="U30" s="1290"/>
      <c r="V30" s="2139" t="str">
        <f>IF(TITLE_IST_PUB_CHANGE="",IF(TITLE_IST_PUB="","",TITLE_IST_PUB),TITLE_IST_PUB_CHANGE)</f>
        <v/>
      </c>
      <c r="W30" s="2139"/>
      <c r="X30" s="2139"/>
      <c r="Y30" s="2139"/>
      <c r="Z30" s="2139"/>
      <c r="AA30" s="2139"/>
      <c r="AB30" s="251"/>
      <c r="AC30" s="2139" t="str">
        <f>IF(TITLE_IST_PUB_CHANGE="",IF(TITLE_IST_PUB="","",TITLE_IST_PUB),TITLE_IST_PUB_CHANGE)</f>
        <v/>
      </c>
      <c r="AD30" s="2139"/>
      <c r="AE30" s="2139"/>
      <c r="AF30" s="2139"/>
      <c r="AG30" s="2139"/>
      <c r="AH30" s="2139"/>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7" t="s">
        <v>395</v>
      </c>
      <c r="T32" s="2137"/>
      <c r="U32" s="1290"/>
      <c r="V32" s="2138" t="str">
        <f>IF(TITLE_DATE_PR_CHANGE="",IF(TITLE_DATE_PR="","",TITLE_DATE_PR),TITLE_DATE_PR_CHANGE)</f>
        <v/>
      </c>
      <c r="W32" s="2138"/>
      <c r="X32" s="2138"/>
      <c r="Y32" s="2138"/>
      <c r="Z32" s="2138"/>
      <c r="AA32" s="2138"/>
      <c r="AB32" s="251"/>
      <c r="AC32" s="2138" t="str">
        <f>IF(TITLE_DATE_PR_CHANGE="",IF(TITLE_DATE_PR="","",TITLE_DATE_PR),TITLE_DATE_PR_CHANGE)</f>
        <v/>
      </c>
      <c r="AD32" s="2138"/>
      <c r="AE32" s="2138"/>
      <c r="AF32" s="2138"/>
      <c r="AG32" s="2138"/>
      <c r="AH32" s="2138"/>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7" t="s">
        <v>396</v>
      </c>
      <c r="T33" s="2137"/>
      <c r="U33" s="1290"/>
      <c r="V33" s="2139" t="str">
        <f>IF(TITLE_NUMBER_PR_CHANGE="",IF(TITLE_NUMBER_PR="","",TITLE_NUMBER_PR),TITLE_NUMBER_PR_CHANGE)</f>
        <v/>
      </c>
      <c r="W33" s="2139"/>
      <c r="X33" s="2139"/>
      <c r="Y33" s="2139"/>
      <c r="Z33" s="2139"/>
      <c r="AA33" s="2139"/>
      <c r="AB33" s="251"/>
      <c r="AC33" s="2139" t="str">
        <f>IF(TITLE_NUMBER_PR_CHANGE="",IF(TITLE_NUMBER_PR="","",TITLE_NUMBER_PR),TITLE_NUMBER_PR_CHANGE)</f>
        <v/>
      </c>
      <c r="AD33" s="2139"/>
      <c r="AE33" s="2139"/>
      <c r="AF33" s="2139"/>
      <c r="AG33" s="2139"/>
      <c r="AH33" s="2139"/>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273"/>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8"/>
      <c r="W35" s="2158"/>
      <c r="X35" s="2158"/>
      <c r="Y35" s="2158"/>
      <c r="Z35" s="2158"/>
      <c r="AA35" s="2158"/>
      <c r="AB35" s="2158"/>
      <c r="AC35" s="2158"/>
      <c r="AD35" s="2158"/>
      <c r="AE35" s="2158"/>
      <c r="AF35" s="2158"/>
      <c r="AG35" s="2158"/>
      <c r="AH35" s="2158"/>
      <c r="AI35" s="2158"/>
    </row>
    <row r="36" spans="1:42" ht="14.25" customHeight="1">
      <c r="Q36" s="304"/>
      <c r="R36" s="304"/>
      <c r="S36" s="2019" t="s">
        <v>268</v>
      </c>
      <c r="T36" s="2019"/>
      <c r="U36" s="2019"/>
      <c r="V36" s="2019"/>
      <c r="W36" s="2019"/>
      <c r="X36" s="2019"/>
      <c r="Y36" s="2019"/>
      <c r="Z36" s="2019"/>
      <c r="AA36" s="2019"/>
      <c r="AB36" s="2019"/>
      <c r="AC36" s="2019"/>
      <c r="AD36" s="2019"/>
      <c r="AE36" s="2019"/>
      <c r="AF36" s="2019"/>
      <c r="AG36" s="2019"/>
      <c r="AH36" s="2019"/>
      <c r="AI36" s="2019"/>
      <c r="AJ36" s="2019"/>
      <c r="AK36" s="2019" t="s">
        <v>269</v>
      </c>
    </row>
    <row r="37" spans="1:42" ht="14.25" customHeight="1">
      <c r="Q37" s="304"/>
      <c r="R37" s="304"/>
      <c r="S37" s="2159" t="s">
        <v>73</v>
      </c>
      <c r="T37" s="2107" t="s">
        <v>398</v>
      </c>
      <c r="U37" s="218"/>
      <c r="V37" s="2160" t="s">
        <v>399</v>
      </c>
      <c r="W37" s="2161"/>
      <c r="X37" s="2161"/>
      <c r="Y37" s="2161"/>
      <c r="Z37" s="2161"/>
      <c r="AA37" s="2162"/>
      <c r="AB37" s="2163" t="s">
        <v>400</v>
      </c>
      <c r="AC37" s="2160" t="s">
        <v>399</v>
      </c>
      <c r="AD37" s="2161"/>
      <c r="AE37" s="2161"/>
      <c r="AF37" s="2161"/>
      <c r="AG37" s="2161"/>
      <c r="AH37" s="2162"/>
      <c r="AI37" s="2163" t="s">
        <v>401</v>
      </c>
      <c r="AJ37" s="2166" t="s">
        <v>402</v>
      </c>
      <c r="AK37" s="2019"/>
    </row>
    <row r="38" spans="1:42" ht="33.75" customHeight="1">
      <c r="Q38" s="304"/>
      <c r="R38" s="304"/>
      <c r="S38" s="2159"/>
      <c r="T38" s="2107"/>
      <c r="U38" s="940"/>
      <c r="V38" s="1270" t="s">
        <v>459</v>
      </c>
      <c r="W38" s="2001" t="s">
        <v>405</v>
      </c>
      <c r="X38" s="2000"/>
      <c r="Y38" s="2001" t="s">
        <v>406</v>
      </c>
      <c r="Z38" s="2006"/>
      <c r="AA38" s="2000"/>
      <c r="AB38" s="2164"/>
      <c r="AC38" s="1270" t="s">
        <v>459</v>
      </c>
      <c r="AD38" s="2001" t="s">
        <v>405</v>
      </c>
      <c r="AE38" s="2000"/>
      <c r="AF38" s="2001" t="s">
        <v>406</v>
      </c>
      <c r="AG38" s="2006"/>
      <c r="AH38" s="2000"/>
      <c r="AI38" s="2164"/>
      <c r="AJ38" s="2167"/>
      <c r="AK38" s="2019"/>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9"/>
      <c r="T39" s="2107"/>
      <c r="U39" s="219"/>
      <c r="V39" s="1270" t="s">
        <v>462</v>
      </c>
      <c r="W39" s="1130" t="s">
        <v>463</v>
      </c>
      <c r="X39" s="1130" t="s">
        <v>464</v>
      </c>
      <c r="Y39" s="1275" t="s">
        <v>416</v>
      </c>
      <c r="Z39" s="2112" t="s">
        <v>417</v>
      </c>
      <c r="AA39" s="2126"/>
      <c r="AB39" s="2165"/>
      <c r="AC39" s="1270" t="s">
        <v>462</v>
      </c>
      <c r="AD39" s="1130" t="s">
        <v>463</v>
      </c>
      <c r="AE39" s="1130" t="s">
        <v>464</v>
      </c>
      <c r="AF39" s="1275" t="s">
        <v>416</v>
      </c>
      <c r="AG39" s="2112" t="s">
        <v>417</v>
      </c>
      <c r="AH39" s="2126"/>
      <c r="AI39" s="2165"/>
      <c r="AJ39" s="2168"/>
      <c r="AK39" s="2019"/>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271">
        <f ca="1">OFFSET(V40,0,-1)+1</f>
        <v>3</v>
      </c>
      <c r="W40" s="1271">
        <f ca="1">OFFSET(W40,0,-1)+1</f>
        <v>4</v>
      </c>
      <c r="X40" s="1271">
        <f ca="1">OFFSET(X40,0,-1)+1</f>
        <v>5</v>
      </c>
      <c r="Y40" s="1271">
        <f ca="1">OFFSET(Y40,0,-1)+1</f>
        <v>6</v>
      </c>
      <c r="Z40" s="2157">
        <f ca="1">OFFSET(Z40,0,-1)+1</f>
        <v>7</v>
      </c>
      <c r="AA40" s="2157"/>
      <c r="AB40" s="1271">
        <f ca="1">OFFSET(AB40,0,-2)+1</f>
        <v>8</v>
      </c>
      <c r="AC40" s="1271">
        <f ca="1">OFFSET(AC40,0,-1)+1</f>
        <v>9</v>
      </c>
      <c r="AD40" s="1271">
        <f ca="1">OFFSET(AD40,0,-1)+1</f>
        <v>10</v>
      </c>
      <c r="AE40" s="1271">
        <f ca="1">OFFSET(AE40,0,-1)+1</f>
        <v>11</v>
      </c>
      <c r="AF40" s="1271">
        <f ca="1">OFFSET(AF40,0,-1)+1</f>
        <v>12</v>
      </c>
      <c r="AG40" s="2157">
        <f ca="1">OFFSET(AG40,0,-1)+1</f>
        <v>13</v>
      </c>
      <c r="AH40" s="2157"/>
      <c r="AI40" s="1271">
        <f ca="1">OFFSET(AI40,0,-2)+1</f>
        <v>14</v>
      </c>
      <c r="AJ40" s="1156">
        <f ca="1">OFFSET(AJ40,0,-1)</f>
        <v>14</v>
      </c>
      <c r="AK40" s="1271">
        <f ca="1">OFFSET(AK40,0,-1)+1</f>
        <v>15</v>
      </c>
      <c r="AL40" s="436"/>
      <c r="AM40" s="436"/>
      <c r="AN40" s="436"/>
      <c r="AO40" s="436"/>
      <c r="AP40" s="436"/>
    </row>
    <row r="41" spans="1:42" ht="23.25" customHeight="1">
      <c r="A41" s="1281" t="s">
        <v>194</v>
      </c>
      <c r="B41" s="1281"/>
      <c r="C41" s="1281"/>
      <c r="D41" s="1281"/>
      <c r="E41" s="2146">
        <v>1</v>
      </c>
      <c r="F41" s="1281"/>
      <c r="G41" s="1281"/>
      <c r="H41" s="1281"/>
      <c r="I41" s="1281"/>
      <c r="J41" s="1281"/>
      <c r="K41" s="1281"/>
      <c r="L41" s="1282"/>
      <c r="M41" s="1283"/>
      <c r="N41" s="1283"/>
      <c r="O41" s="1283"/>
      <c r="P41" s="285"/>
      <c r="Q41" s="284"/>
      <c r="R41" s="279"/>
      <c r="S41" s="1276">
        <f>INDEX(PT_DIFFERENTIATION_NUM_NTAR,MATCH(A41,PT_DIFFERENTIATION_NTAR_ID,0))</f>
        <v>0</v>
      </c>
      <c r="T41" s="215" t="s">
        <v>105</v>
      </c>
      <c r="U41" s="217"/>
      <c r="V41" s="2140"/>
      <c r="W41" s="2141"/>
      <c r="X41" s="2141"/>
      <c r="Y41" s="2141"/>
      <c r="Z41" s="2141"/>
      <c r="AA41" s="2141"/>
      <c r="AB41" s="2142"/>
      <c r="AC41" s="2140" t="str">
        <f>INDEX(PT_DIFFERENTIATION_NTAR,MATCH(A41,PT_DIFFERENTIATION_NTAR_ID,0))</f>
        <v/>
      </c>
      <c r="AD41" s="2141"/>
      <c r="AE41" s="2141"/>
      <c r="AF41" s="2141"/>
      <c r="AG41" s="2141"/>
      <c r="AH41" s="2141"/>
      <c r="AI41" s="2141"/>
      <c r="AJ41" s="2142"/>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194</v>
      </c>
      <c r="B42" s="1281" t="s">
        <v>195</v>
      </c>
      <c r="C42" s="1281"/>
      <c r="D42" s="1281"/>
      <c r="E42" s="2147"/>
      <c r="F42" s="2146">
        <v>1</v>
      </c>
      <c r="G42" s="1281"/>
      <c r="H42" s="1281"/>
      <c r="I42" s="1281"/>
      <c r="J42" s="1281"/>
      <c r="K42" s="1281"/>
      <c r="L42" s="1282"/>
      <c r="M42" s="1283"/>
      <c r="N42" s="1283"/>
      <c r="O42" s="1283"/>
      <c r="P42" s="1274"/>
      <c r="Q42" s="276"/>
      <c r="R42" s="277"/>
      <c r="S42" s="1276" t="str">
        <f>INDEX(PT_DIFFERENTIATION_NUM_TER,MATCH(B42,PT_DIFFERENTIATION_TER_ID,0))</f>
        <v>.</v>
      </c>
      <c r="T42" s="227" t="s">
        <v>367</v>
      </c>
      <c r="U42" s="217"/>
      <c r="V42" s="2140"/>
      <c r="W42" s="2141"/>
      <c r="X42" s="2141"/>
      <c r="Y42" s="2141"/>
      <c r="Z42" s="2141"/>
      <c r="AA42" s="2141"/>
      <c r="AB42" s="2142"/>
      <c r="AC42" s="2140" t="str">
        <f>INDEX(PT_DIFFERENTIATION_TER,MATCH(B42,PT_DIFFERENTIATION_TER_ID,0))</f>
        <v/>
      </c>
      <c r="AD42" s="2141"/>
      <c r="AE42" s="2141"/>
      <c r="AF42" s="2141"/>
      <c r="AG42" s="2141"/>
      <c r="AH42" s="2141"/>
      <c r="AI42" s="2141"/>
      <c r="AJ42" s="2142"/>
      <c r="AK42" s="1179" t="s">
        <v>368</v>
      </c>
      <c r="AM42" s="425"/>
      <c r="AN42" s="425" t="str">
        <f t="shared" si="1"/>
        <v>Территория действия тарифа</v>
      </c>
      <c r="AO42" s="425"/>
      <c r="AP42" s="425"/>
    </row>
    <row r="43" spans="1:42" ht="23.25" customHeight="1">
      <c r="A43" s="1281" t="s">
        <v>194</v>
      </c>
      <c r="B43" s="1281" t="s">
        <v>195</v>
      </c>
      <c r="C43" s="1281" t="s">
        <v>196</v>
      </c>
      <c r="D43" s="1281"/>
      <c r="E43" s="2147"/>
      <c r="F43" s="2147"/>
      <c r="G43" s="2146">
        <v>1</v>
      </c>
      <c r="H43" s="1281"/>
      <c r="I43" s="1281"/>
      <c r="J43" s="1281"/>
      <c r="K43" s="1281"/>
      <c r="L43" s="1282"/>
      <c r="M43" s="1283"/>
      <c r="N43" s="1283"/>
      <c r="O43" s="1283"/>
      <c r="P43" s="278"/>
      <c r="Q43" s="276"/>
      <c r="R43" s="277"/>
      <c r="S43" s="1276" t="str">
        <f>INDEX(PT_DIFFERENTIATION_NUM_CS,MATCH(C43,PT_DIFFERENTIATION_CS_ID,0))</f>
        <v>..</v>
      </c>
      <c r="T43" s="228" t="s">
        <v>451</v>
      </c>
      <c r="U43" s="217"/>
      <c r="V43" s="2140"/>
      <c r="W43" s="2141"/>
      <c r="X43" s="2141"/>
      <c r="Y43" s="2141"/>
      <c r="Z43" s="2141"/>
      <c r="AA43" s="2141"/>
      <c r="AB43" s="2142"/>
      <c r="AC43" s="2140" t="str">
        <f>INDEX(PT_DIFFERENTIATION_CS,MATCH(C43,PT_DIFFERENTIATION_CS_ID,0))</f>
        <v/>
      </c>
      <c r="AD43" s="2141"/>
      <c r="AE43" s="2141"/>
      <c r="AF43" s="2141"/>
      <c r="AG43" s="2141"/>
      <c r="AH43" s="2141"/>
      <c r="AI43" s="2141"/>
      <c r="AJ43" s="2142"/>
      <c r="AK43" s="1179" t="s">
        <v>452</v>
      </c>
      <c r="AM43" s="425"/>
      <c r="AN43" s="425" t="str">
        <f t="shared" si="1"/>
        <v>Наименование централизованной системы холодного водоснабжения</v>
      </c>
      <c r="AO43" s="425"/>
      <c r="AP43" s="425"/>
    </row>
    <row r="44" spans="1:42" ht="23.25" customHeight="1">
      <c r="A44" s="1281" t="s">
        <v>194</v>
      </c>
      <c r="B44" s="1281" t="s">
        <v>195</v>
      </c>
      <c r="C44" s="1281" t="s">
        <v>196</v>
      </c>
      <c r="D44" s="1281" t="s">
        <v>465</v>
      </c>
      <c r="E44" s="2147"/>
      <c r="F44" s="2147"/>
      <c r="G44" s="2147"/>
      <c r="H44" s="2147"/>
      <c r="I44" s="2148" t="str">
        <f>S43&amp;".1"</f>
        <v>...1</v>
      </c>
      <c r="J44" s="1281"/>
      <c r="K44" s="1281"/>
      <c r="L44" s="1282"/>
      <c r="P44" s="2150">
        <v>1</v>
      </c>
      <c r="Q44" s="1272"/>
      <c r="R44" s="280"/>
      <c r="S44" s="1276"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194</v>
      </c>
      <c r="B45" s="1281" t="s">
        <v>195</v>
      </c>
      <c r="C45" s="1281" t="s">
        <v>196</v>
      </c>
      <c r="D45" s="1281" t="s">
        <v>465</v>
      </c>
      <c r="E45" s="2147"/>
      <c r="F45" s="2147"/>
      <c r="G45" s="2147"/>
      <c r="H45" s="2147"/>
      <c r="I45" s="2149"/>
      <c r="J45" s="2148" t="str">
        <f>I44&amp;".1"</f>
        <v>...1.1</v>
      </c>
      <c r="K45" s="1281"/>
      <c r="L45" s="1282" t="s">
        <v>376</v>
      </c>
      <c r="P45" s="2150"/>
      <c r="Q45" s="2150">
        <v>1</v>
      </c>
      <c r="R45" s="281"/>
      <c r="S45" s="1276" t="str">
        <f>$J45</f>
        <v>...1.1</v>
      </c>
      <c r="T45" s="203" t="s">
        <v>377</v>
      </c>
      <c r="U45" s="217"/>
      <c r="V45" s="2134"/>
      <c r="W45" s="2135"/>
      <c r="X45" s="2135"/>
      <c r="Y45" s="2135"/>
      <c r="Z45" s="2135"/>
      <c r="AA45" s="2135"/>
      <c r="AB45" s="2136"/>
      <c r="AC45" s="2134"/>
      <c r="AD45" s="2135"/>
      <c r="AE45" s="2135"/>
      <c r="AF45" s="2135"/>
      <c r="AG45" s="2135"/>
      <c r="AH45" s="2135"/>
      <c r="AI45" s="2135"/>
      <c r="AJ45" s="2136"/>
      <c r="AK45" s="1228" t="s">
        <v>455</v>
      </c>
      <c r="AM45" s="425"/>
      <c r="AN45" s="425" t="str">
        <f t="shared" si="1"/>
        <v>Группа потребителей</v>
      </c>
      <c r="AO45" s="425"/>
      <c r="AP45" s="425"/>
    </row>
    <row r="46" spans="1:42" ht="23.25" customHeight="1">
      <c r="A46" s="1281" t="s">
        <v>194</v>
      </c>
      <c r="B46" s="1281" t="s">
        <v>195</v>
      </c>
      <c r="C46" s="1281" t="s">
        <v>196</v>
      </c>
      <c r="D46" s="1281" t="s">
        <v>465</v>
      </c>
      <c r="E46" s="2147"/>
      <c r="F46" s="2147"/>
      <c r="G46" s="2147"/>
      <c r="H46" s="2147"/>
      <c r="I46" s="2149"/>
      <c r="J46" s="2149"/>
      <c r="K46" s="2148" t="str">
        <f>J45&amp;".1"</f>
        <v>...1.1.1</v>
      </c>
      <c r="L46" s="1282"/>
      <c r="P46" s="2150"/>
      <c r="Q46" s="2150"/>
      <c r="R46" s="281">
        <v>1</v>
      </c>
      <c r="S46" s="1276" t="str">
        <f>$K46</f>
        <v>...1.1.1</v>
      </c>
      <c r="T46" s="1354"/>
      <c r="U46" s="217"/>
      <c r="V46" s="1278"/>
      <c r="W46" s="1278"/>
      <c r="X46" s="1279"/>
      <c r="Y46" s="2144"/>
      <c r="Z46" s="2143" t="s">
        <v>50</v>
      </c>
      <c r="AA46" s="2144"/>
      <c r="AB46" s="2143" t="s">
        <v>50</v>
      </c>
      <c r="AC46" s="668"/>
      <c r="AD46" s="668"/>
      <c r="AE46" s="1178"/>
      <c r="AF46" s="2151"/>
      <c r="AG46" s="2029" t="s">
        <v>50</v>
      </c>
      <c r="AH46" s="2153"/>
      <c r="AI46" s="2029" t="s">
        <v>48</v>
      </c>
      <c r="AJ46" s="1355"/>
      <c r="AK46"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194</v>
      </c>
      <c r="B47" s="1281" t="s">
        <v>195</v>
      </c>
      <c r="C47" s="1281" t="s">
        <v>196</v>
      </c>
      <c r="D47" s="1281" t="s">
        <v>465</v>
      </c>
      <c r="E47" s="2147"/>
      <c r="F47" s="2147"/>
      <c r="G47" s="2147"/>
      <c r="H47" s="2147"/>
      <c r="I47" s="2149"/>
      <c r="J47" s="2149"/>
      <c r="K47" s="2148"/>
      <c r="L47" s="1282"/>
      <c r="P47" s="2150"/>
      <c r="Q47" s="2150"/>
      <c r="R47" s="281"/>
      <c r="S47" s="1277"/>
      <c r="T47" s="217"/>
      <c r="U47" s="217"/>
      <c r="V47" s="1278"/>
      <c r="W47" s="1278"/>
      <c r="X47" s="253" t="str">
        <f>Y46&amp;"-"&amp;AA46</f>
        <v>-</v>
      </c>
      <c r="Y47" s="2143"/>
      <c r="Z47" s="2143"/>
      <c r="AA47" s="2143"/>
      <c r="AB47" s="2143"/>
      <c r="AC47" s="249"/>
      <c r="AD47" s="249"/>
      <c r="AE47" s="253" t="str">
        <f>AF46&amp;"-"&amp;AH46</f>
        <v>-</v>
      </c>
      <c r="AF47" s="2152"/>
      <c r="AG47" s="2029"/>
      <c r="AH47" s="2154"/>
      <c r="AI47" s="2029"/>
      <c r="AJ47" s="1356"/>
      <c r="AK47" s="2212"/>
      <c r="AM47" s="425"/>
      <c r="AN47" s="425" t="str">
        <f t="shared" si="1"/>
        <v/>
      </c>
      <c r="AO47" s="425"/>
      <c r="AP47" s="425"/>
    </row>
    <row r="48" spans="1:42" ht="21" customHeight="1">
      <c r="A48" s="1281" t="s">
        <v>194</v>
      </c>
      <c r="B48" s="1281" t="s">
        <v>195</v>
      </c>
      <c r="C48" s="1281" t="s">
        <v>196</v>
      </c>
      <c r="D48" s="1281" t="s">
        <v>465</v>
      </c>
      <c r="E48" s="2147"/>
      <c r="F48" s="2147"/>
      <c r="G48" s="2147"/>
      <c r="H48" s="2147"/>
      <c r="I48" s="2149"/>
      <c r="J48" s="2148"/>
      <c r="K48" s="1281"/>
      <c r="L48" s="1282"/>
      <c r="P48" s="2150"/>
      <c r="Q48" s="2150"/>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194</v>
      </c>
      <c r="B49" s="1281" t="s">
        <v>195</v>
      </c>
      <c r="C49" s="1281" t="s">
        <v>196</v>
      </c>
      <c r="D49" s="1281" t="s">
        <v>465</v>
      </c>
      <c r="E49" s="2147"/>
      <c r="F49" s="2147"/>
      <c r="G49" s="2147"/>
      <c r="H49" s="2147"/>
      <c r="I49" s="2148"/>
      <c r="J49" s="1281"/>
      <c r="K49" s="1281"/>
      <c r="L49" s="1282"/>
      <c r="P49" s="2150"/>
      <c r="Q49" s="1272"/>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194</v>
      </c>
      <c r="B50" s="1281" t="s">
        <v>195</v>
      </c>
      <c r="C50" s="1281" t="s">
        <v>196</v>
      </c>
      <c r="D50" s="1281" t="s">
        <v>465</v>
      </c>
      <c r="E50" s="2147"/>
      <c r="F50" s="2147"/>
      <c r="G50" s="2147"/>
      <c r="H50" s="2146"/>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194</v>
      </c>
      <c r="B51" s="1262" t="s">
        <v>195</v>
      </c>
      <c r="C51" s="1234"/>
      <c r="D51" s="1234"/>
      <c r="E51" s="2147"/>
      <c r="F51" s="2146"/>
      <c r="G51" s="1234"/>
      <c r="H51" s="1234"/>
      <c r="I51" s="1234"/>
      <c r="J51" s="1234"/>
      <c r="K51" s="1234"/>
      <c r="L51" s="134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194</v>
      </c>
      <c r="B52" s="1262"/>
      <c r="C52" s="1262"/>
      <c r="D52" s="1262"/>
      <c r="E52" s="2146"/>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4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5"/>
      <c r="U55" s="2145"/>
      <c r="V55" s="2145"/>
      <c r="W55" s="2145"/>
      <c r="X55" s="2145"/>
      <c r="Y55" s="2145"/>
      <c r="Z55" s="2145"/>
      <c r="AA55" s="2145"/>
      <c r="AB55" s="2145"/>
      <c r="AC55" s="2145"/>
      <c r="AD55" s="2145"/>
      <c r="AE55" s="2145"/>
      <c r="AF55" s="2145"/>
      <c r="AG55" s="2145"/>
      <c r="AH55" s="2145"/>
      <c r="AI55" s="2145"/>
      <c r="AJ55" s="2145"/>
      <c r="AK55" s="2145"/>
    </row>
    <row r="56" spans="1:42" ht="14.25" customHeight="1">
      <c r="O56" s="461"/>
    </row>
    <row r="57" spans="1:42" ht="14.25" customHeight="1">
      <c r="O57" s="461"/>
      <c r="S57" s="1166"/>
      <c r="T57" s="2145"/>
      <c r="U57" s="2145"/>
      <c r="V57" s="2145"/>
      <c r="W57" s="2145"/>
      <c r="X57" s="2145"/>
      <c r="Y57" s="2145"/>
      <c r="Z57" s="2145"/>
      <c r="AA57" s="2145"/>
      <c r="AB57" s="2145"/>
      <c r="AC57" s="2145"/>
      <c r="AD57" s="2145"/>
      <c r="AE57" s="2145"/>
      <c r="AF57" s="2145"/>
      <c r="AG57" s="2145"/>
      <c r="AH57" s="2145"/>
      <c r="AI57" s="2145"/>
      <c r="AJ57" s="2145"/>
      <c r="AK57" s="2145"/>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8" hidden="1" customWidth="1"/>
    <col min="13" max="14" width="12.28515625" style="1884" hidden="1" customWidth="1"/>
    <col min="15" max="15" width="23.42578125" style="1884" hidden="1" customWidth="1"/>
    <col min="16" max="16" width="3.7109375" style="1899"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6">
        <v>1</v>
      </c>
      <c r="F2" s="1281"/>
      <c r="G2" s="1281"/>
      <c r="H2" s="1281"/>
      <c r="I2" s="1281"/>
      <c r="J2" s="1281"/>
      <c r="K2" s="1281"/>
      <c r="L2" s="1282"/>
      <c r="M2" s="1283"/>
      <c r="N2" s="1283"/>
      <c r="O2" s="1283"/>
      <c r="P2" s="285"/>
      <c r="Q2" s="284"/>
      <c r="R2" s="279"/>
      <c r="S2" s="1372" t="e">
        <f>INDEX(PT_DIFFERENTIATION_NUM_NTAR,MATCH(A2,PT_DIFFERENTIATION_NTAR_ID,0))</f>
        <v>#N/A</v>
      </c>
      <c r="T2" s="215" t="s">
        <v>105</v>
      </c>
      <c r="U2" s="217"/>
      <c r="V2" s="2140"/>
      <c r="W2" s="2141"/>
      <c r="X2" s="2141"/>
      <c r="Y2" s="2141"/>
      <c r="Z2" s="2141"/>
      <c r="AA2" s="2141"/>
      <c r="AB2" s="2142"/>
      <c r="AC2" s="2140" t="e">
        <f>INDEX(PT_DIFFERENTIATION_NTAR,MATCH(A2,PT_DIFFERENTIATION_NTAR_ID,0))</f>
        <v>#N/A</v>
      </c>
      <c r="AD2" s="2141"/>
      <c r="AE2" s="2141"/>
      <c r="AF2" s="2141"/>
      <c r="AG2" s="2141"/>
      <c r="AH2" s="2141"/>
      <c r="AI2" s="2141"/>
      <c r="AJ2" s="2142"/>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7"/>
      <c r="F3" s="2146">
        <v>1</v>
      </c>
      <c r="G3" s="1281"/>
      <c r="H3" s="1281"/>
      <c r="I3" s="1281"/>
      <c r="J3" s="1281"/>
      <c r="K3" s="1281"/>
      <c r="L3" s="1282"/>
      <c r="M3" s="1283"/>
      <c r="N3" s="1283"/>
      <c r="O3" s="1283"/>
      <c r="P3" s="1368"/>
      <c r="Q3" s="276"/>
      <c r="R3" s="277"/>
      <c r="S3" s="1372" t="e">
        <f>INDEX(PT_DIFFERENTIATION_NUM_TER,MATCH(B3,PT_DIFFERENTIATION_TER_ID,0))</f>
        <v>#N/A</v>
      </c>
      <c r="T3" s="227" t="s">
        <v>367</v>
      </c>
      <c r="U3" s="217"/>
      <c r="V3" s="2140"/>
      <c r="W3" s="2141"/>
      <c r="X3" s="2141"/>
      <c r="Y3" s="2141"/>
      <c r="Z3" s="2141"/>
      <c r="AA3" s="2141"/>
      <c r="AB3" s="2142"/>
      <c r="AC3" s="2140" t="e">
        <f>INDEX(PT_DIFFERENTIATION_TER,MATCH(B3,PT_DIFFERENTIATION_TER_ID,0))</f>
        <v>#N/A</v>
      </c>
      <c r="AD3" s="2141"/>
      <c r="AE3" s="2141"/>
      <c r="AF3" s="2141"/>
      <c r="AG3" s="2141"/>
      <c r="AH3" s="2141"/>
      <c r="AI3" s="2141"/>
      <c r="AJ3" s="2142"/>
      <c r="AK3" s="1179" t="s">
        <v>368</v>
      </c>
      <c r="AM3" s="425"/>
      <c r="AN3" s="425" t="str">
        <f t="shared" si="0"/>
        <v>Территория действия тарифа</v>
      </c>
      <c r="AO3" s="425"/>
      <c r="AP3" s="425"/>
    </row>
    <row r="4" spans="1:42" ht="23.25" hidden="1" customHeight="1">
      <c r="A4" s="1281"/>
      <c r="B4" s="1281"/>
      <c r="C4" s="1281"/>
      <c r="D4" s="1281"/>
      <c r="E4" s="2147"/>
      <c r="F4" s="2147"/>
      <c r="G4" s="2146">
        <v>1</v>
      </c>
      <c r="H4" s="1281"/>
      <c r="I4" s="1281"/>
      <c r="J4" s="1281"/>
      <c r="K4" s="1281"/>
      <c r="L4" s="1282"/>
      <c r="M4" s="1283"/>
      <c r="N4" s="1283"/>
      <c r="O4" s="1283"/>
      <c r="P4" s="278"/>
      <c r="Q4" s="276"/>
      <c r="R4" s="277"/>
      <c r="S4" s="1372" t="e">
        <f>INDEX(PT_DIFFERENTIATION_NUM_CS,MATCH(C4,PT_DIFFERENTIATION_CS_ID,0))</f>
        <v>#N/A</v>
      </c>
      <c r="T4" s="228" t="s">
        <v>451</v>
      </c>
      <c r="U4" s="217"/>
      <c r="V4" s="2140"/>
      <c r="W4" s="2141"/>
      <c r="X4" s="2141"/>
      <c r="Y4" s="2141"/>
      <c r="Z4" s="2141"/>
      <c r="AA4" s="2141"/>
      <c r="AB4" s="2142"/>
      <c r="AC4" s="2140" t="e">
        <f>INDEX(PT_DIFFERENTIATION_CS,MATCH(C4,PT_DIFFERENTIATION_CS_ID,0))</f>
        <v>#N/A</v>
      </c>
      <c r="AD4" s="2141"/>
      <c r="AE4" s="2141"/>
      <c r="AF4" s="2141"/>
      <c r="AG4" s="2141"/>
      <c r="AH4" s="2141"/>
      <c r="AI4" s="2141"/>
      <c r="AJ4" s="2142"/>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7"/>
      <c r="F5" s="2147"/>
      <c r="G5" s="2147"/>
      <c r="H5" s="2147"/>
      <c r="I5" s="2148" t="e">
        <f>S4&amp;".1"</f>
        <v>#N/A</v>
      </c>
      <c r="J5" s="1281"/>
      <c r="K5" s="1281"/>
      <c r="L5" s="1282"/>
      <c r="P5" s="2150">
        <v>1</v>
      </c>
      <c r="Q5" s="1365"/>
      <c r="R5" s="280"/>
      <c r="S5" s="1372"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7"/>
      <c r="F6" s="2147"/>
      <c r="G6" s="2147"/>
      <c r="H6" s="2147"/>
      <c r="I6" s="2149"/>
      <c r="J6" s="2148" t="e">
        <f>I5&amp;".1"</f>
        <v>#N/A</v>
      </c>
      <c r="K6" s="1281"/>
      <c r="L6" s="1282" t="s">
        <v>376</v>
      </c>
      <c r="P6" s="2150"/>
      <c r="Q6" s="2150">
        <v>1</v>
      </c>
      <c r="R6" s="281"/>
      <c r="S6" s="1372" t="e">
        <f>$J6</f>
        <v>#N/A</v>
      </c>
      <c r="T6" s="203" t="s">
        <v>377</v>
      </c>
      <c r="U6" s="217"/>
      <c r="V6" s="2134"/>
      <c r="W6" s="2135"/>
      <c r="X6" s="2135"/>
      <c r="Y6" s="2135"/>
      <c r="Z6" s="2135"/>
      <c r="AA6" s="2135"/>
      <c r="AB6" s="2136"/>
      <c r="AC6" s="2134"/>
      <c r="AD6" s="2135"/>
      <c r="AE6" s="2135"/>
      <c r="AF6" s="2135"/>
      <c r="AG6" s="2135"/>
      <c r="AH6" s="2135"/>
      <c r="AI6" s="2135"/>
      <c r="AJ6" s="2136"/>
      <c r="AK6" s="1228" t="s">
        <v>455</v>
      </c>
      <c r="AM6" s="425"/>
      <c r="AN6" s="425" t="str">
        <f t="shared" si="0"/>
        <v>Группа потребителей</v>
      </c>
      <c r="AO6" s="425"/>
      <c r="AP6" s="425"/>
    </row>
    <row r="7" spans="1:42" ht="23.25" hidden="1" customHeight="1">
      <c r="A7" s="1281"/>
      <c r="B7" s="1281"/>
      <c r="C7" s="1281"/>
      <c r="D7" s="1281"/>
      <c r="E7" s="2147"/>
      <c r="F7" s="2147"/>
      <c r="G7" s="2147"/>
      <c r="H7" s="2147"/>
      <c r="I7" s="2149"/>
      <c r="J7" s="2149"/>
      <c r="K7" s="2148" t="e">
        <f>J6&amp;".1"</f>
        <v>#N/A</v>
      </c>
      <c r="L7" s="1282"/>
      <c r="P7" s="2150"/>
      <c r="Q7" s="2150"/>
      <c r="R7" s="281">
        <v>1</v>
      </c>
      <c r="S7" s="1372" t="e">
        <f>$K7</f>
        <v>#N/A</v>
      </c>
      <c r="T7" s="1354"/>
      <c r="U7" s="217"/>
      <c r="V7" s="668"/>
      <c r="W7" s="668"/>
      <c r="X7" s="1178"/>
      <c r="Y7" s="2151"/>
      <c r="Z7" s="2029" t="s">
        <v>50</v>
      </c>
      <c r="AA7" s="2151"/>
      <c r="AB7" s="2029" t="s">
        <v>50</v>
      </c>
      <c r="AC7" s="668"/>
      <c r="AD7" s="668"/>
      <c r="AE7" s="1178"/>
      <c r="AF7" s="2151"/>
      <c r="AG7" s="2029" t="s">
        <v>50</v>
      </c>
      <c r="AH7" s="2153"/>
      <c r="AI7" s="2029" t="s">
        <v>50</v>
      </c>
      <c r="AJ7" s="1355"/>
      <c r="AK7"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7"/>
      <c r="F8" s="2147"/>
      <c r="G8" s="2147"/>
      <c r="H8" s="2147"/>
      <c r="I8" s="2149"/>
      <c r="J8" s="2149"/>
      <c r="K8" s="2148"/>
      <c r="L8" s="1282"/>
      <c r="P8" s="2150"/>
      <c r="Q8" s="2150"/>
      <c r="R8" s="281"/>
      <c r="S8" s="1371"/>
      <c r="T8" s="217"/>
      <c r="U8" s="217"/>
      <c r="V8" s="249"/>
      <c r="W8" s="249"/>
      <c r="X8" s="253" t="str">
        <f>Y7&amp;"-"&amp;AA7</f>
        <v>-</v>
      </c>
      <c r="Y8" s="2152"/>
      <c r="Z8" s="2029"/>
      <c r="AA8" s="2152"/>
      <c r="AB8" s="2029"/>
      <c r="AC8" s="249"/>
      <c r="AD8" s="249"/>
      <c r="AE8" s="253" t="str">
        <f>AF7&amp;"-"&amp;AH7</f>
        <v>-</v>
      </c>
      <c r="AF8" s="2152"/>
      <c r="AG8" s="2029"/>
      <c r="AH8" s="2154"/>
      <c r="AI8" s="2029"/>
      <c r="AJ8" s="1356"/>
      <c r="AK8" s="2212"/>
      <c r="AM8" s="425"/>
      <c r="AN8" s="425" t="str">
        <f t="shared" si="0"/>
        <v/>
      </c>
      <c r="AO8" s="425"/>
      <c r="AP8" s="425"/>
    </row>
    <row r="9" spans="1:42" ht="21" hidden="1" customHeight="1">
      <c r="A9" s="1281"/>
      <c r="B9" s="1281"/>
      <c r="C9" s="1281"/>
      <c r="D9" s="1281"/>
      <c r="E9" s="2147"/>
      <c r="F9" s="2147"/>
      <c r="G9" s="2147"/>
      <c r="H9" s="2147"/>
      <c r="I9" s="2149"/>
      <c r="J9" s="2148"/>
      <c r="K9" s="1281"/>
      <c r="L9" s="1282"/>
      <c r="P9" s="2150"/>
      <c r="Q9" s="2150"/>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7"/>
      <c r="F10" s="2147"/>
      <c r="G10" s="2147"/>
      <c r="H10" s="2147"/>
      <c r="I10" s="2148"/>
      <c r="J10" s="1281"/>
      <c r="K10" s="1281"/>
      <c r="L10" s="1282"/>
      <c r="P10" s="2150"/>
      <c r="Q10" s="1365"/>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7"/>
      <c r="F11" s="2147"/>
      <c r="G11" s="2147"/>
      <c r="H11" s="2146"/>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7"/>
      <c r="F12" s="2146"/>
      <c r="G12" s="1234"/>
      <c r="H12" s="1234"/>
      <c r="I12" s="1234"/>
      <c r="J12" s="1234"/>
      <c r="K12" s="1234"/>
      <c r="L12" s="137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6"/>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4"/>
      <c r="AG15" s="2143" t="s">
        <v>50</v>
      </c>
      <c r="AH15" s="2144"/>
      <c r="AI15" s="2143" t="s">
        <v>50</v>
      </c>
    </row>
    <row r="16" spans="1:42" ht="14.25" hidden="1" customHeight="1">
      <c r="AC16" s="1278"/>
      <c r="AD16" s="1278"/>
      <c r="AE16" s="253" t="str">
        <f>AF15&amp;"-"&amp;AH15</f>
        <v>-</v>
      </c>
      <c r="AF16" s="2143"/>
      <c r="AG16" s="2143"/>
      <c r="AH16" s="2143"/>
      <c r="AI16" s="2143"/>
    </row>
    <row r="17" spans="1:42" ht="14.25" hidden="1" customHeight="1">
      <c r="AI17" s="252"/>
    </row>
    <row r="18" spans="1:42" s="1882" customFormat="1" ht="22.5" hidden="1" customHeight="1">
      <c r="L18" s="1362"/>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62"/>
      <c r="M19" s="1280"/>
      <c r="N19" s="1280"/>
      <c r="O19" s="1280"/>
      <c r="P19" s="1280"/>
      <c r="Q19" s="1289"/>
      <c r="R19" s="1289"/>
      <c r="S19" s="648"/>
      <c r="AB19" s="1284"/>
      <c r="AI19" s="1284"/>
      <c r="AL19" s="436"/>
      <c r="AM19" s="436"/>
      <c r="AN19" s="436"/>
      <c r="AO19" s="436"/>
      <c r="AP19" s="436"/>
    </row>
    <row r="20" spans="1:42" s="1882" customFormat="1" ht="12" hidden="1" customHeight="1">
      <c r="L20" s="1362"/>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2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7"/>
      <c r="U24" s="2127"/>
      <c r="V24" s="2127"/>
      <c r="W24" s="2127"/>
      <c r="X24" s="2127"/>
      <c r="Y24" s="2127"/>
      <c r="Z24" s="2127"/>
      <c r="AA24" s="2127"/>
      <c r="AB24" s="2127"/>
      <c r="AC24" s="2127"/>
      <c r="AD24" s="2127"/>
      <c r="AE24" s="2127"/>
      <c r="AF24" s="2127"/>
      <c r="AG24" s="2127"/>
      <c r="AH24" s="2127"/>
      <c r="AI24" s="1154"/>
    </row>
    <row r="25" spans="1:42" ht="14.25" customHeight="1">
      <c r="Q25" s="304"/>
      <c r="R25" s="304"/>
      <c r="S25" s="2098" t="str">
        <f>IF(org=0,"Не определено",org)</f>
        <v>ООО "Горводоканал"</v>
      </c>
      <c r="T25" s="2098"/>
      <c r="U25" s="2098"/>
      <c r="V25" s="2098"/>
      <c r="W25" s="2098"/>
      <c r="X25" s="2098"/>
      <c r="Y25" s="2098"/>
      <c r="Z25" s="2098"/>
      <c r="AA25" s="2098"/>
      <c r="AB25" s="2098"/>
      <c r="AC25" s="2098"/>
      <c r="AD25" s="2098"/>
      <c r="AE25" s="2098"/>
      <c r="AF25" s="2098"/>
      <c r="AG25" s="2098"/>
      <c r="AH25" s="2098"/>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7" t="s">
        <v>37</v>
      </c>
      <c r="T27" s="2137"/>
      <c r="U27" s="1290"/>
      <c r="V27" s="2139" t="str">
        <f>IF(TITLE_NAME_OR_PR_CHANGE="",IF(TITLE_NAME_OR_PR="","",TITLE_NAME_OR_PR),TITLE_NAME_OR_PR_CHANGE)</f>
        <v/>
      </c>
      <c r="W27" s="2139"/>
      <c r="X27" s="2139"/>
      <c r="Y27" s="2139"/>
      <c r="Z27" s="2139"/>
      <c r="AA27" s="2139"/>
      <c r="AB27" s="251"/>
      <c r="AC27" s="2139" t="str">
        <f>IF(TITLE_NAME_OR_PR_CHANGE="",IF(TITLE_NAME_OR_PR="","",TITLE_NAME_OR_PR),TITLE_NAME_OR_PR_CHANGE)</f>
        <v/>
      </c>
      <c r="AD27" s="2139"/>
      <c r="AE27" s="2139"/>
      <c r="AF27" s="2139"/>
      <c r="AG27" s="2139"/>
      <c r="AH27" s="2139"/>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7" t="s">
        <v>393</v>
      </c>
      <c r="T28" s="2137"/>
      <c r="U28" s="1290"/>
      <c r="V28" s="2138" t="str">
        <f>IF(TITLE_DATE_PR_CHANGE="",IF(TITLE_DATE_PR="","",TITLE_DATE_PR),TITLE_DATE_PR_CHANGE)</f>
        <v/>
      </c>
      <c r="W28" s="2138"/>
      <c r="X28" s="2138"/>
      <c r="Y28" s="2138"/>
      <c r="Z28" s="2138"/>
      <c r="AA28" s="2138"/>
      <c r="AB28" s="251"/>
      <c r="AC28" s="2138" t="str">
        <f>IF(TITLE_DATE_PR_CHANGE="",IF(TITLE_DATE_PR="","",TITLE_DATE_PR),TITLE_DATE_PR_CHANGE)</f>
        <v/>
      </c>
      <c r="AD28" s="2138"/>
      <c r="AE28" s="2138"/>
      <c r="AF28" s="2138"/>
      <c r="AG28" s="2138"/>
      <c r="AH28" s="2138"/>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7" t="s">
        <v>394</v>
      </c>
      <c r="T29" s="2137"/>
      <c r="U29" s="1290"/>
      <c r="V29" s="2139" t="str">
        <f>IF(TITLE_NUMBER_PR_CHANGE="",IF(TITLE_NUMBER_PR="","",TITLE_NUMBER_PR),TITLE_NUMBER_PR_CHANGE)</f>
        <v/>
      </c>
      <c r="W29" s="2139"/>
      <c r="X29" s="2139"/>
      <c r="Y29" s="2139"/>
      <c r="Z29" s="2139"/>
      <c r="AA29" s="2139"/>
      <c r="AB29" s="251"/>
      <c r="AC29" s="2139" t="str">
        <f>IF(TITLE_NUMBER_PR_CHANGE="",IF(TITLE_NUMBER_PR="","",TITLE_NUMBER_PR),TITLE_NUMBER_PR_CHANGE)</f>
        <v/>
      </c>
      <c r="AD29" s="2139"/>
      <c r="AE29" s="2139"/>
      <c r="AF29" s="2139"/>
      <c r="AG29" s="2139"/>
      <c r="AH29" s="2139"/>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7" t="s">
        <v>38</v>
      </c>
      <c r="T30" s="2137"/>
      <c r="U30" s="1290"/>
      <c r="V30" s="2139" t="str">
        <f>IF(TITLE_IST_PUB_CHANGE="",IF(TITLE_IST_PUB="","",TITLE_IST_PUB),TITLE_IST_PUB_CHANGE)</f>
        <v/>
      </c>
      <c r="W30" s="2139"/>
      <c r="X30" s="2139"/>
      <c r="Y30" s="2139"/>
      <c r="Z30" s="2139"/>
      <c r="AA30" s="2139"/>
      <c r="AB30" s="251"/>
      <c r="AC30" s="2139" t="str">
        <f>IF(TITLE_IST_PUB_CHANGE="",IF(TITLE_IST_PUB="","",TITLE_IST_PUB),TITLE_IST_PUB_CHANGE)</f>
        <v/>
      </c>
      <c r="AD30" s="2139"/>
      <c r="AE30" s="2139"/>
      <c r="AF30" s="2139"/>
      <c r="AG30" s="2139"/>
      <c r="AH30" s="2139"/>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7" t="s">
        <v>395</v>
      </c>
      <c r="T32" s="2137"/>
      <c r="U32" s="1290"/>
      <c r="V32" s="2138" t="str">
        <f>IF(TITLE_DATE_PR_CHANGE="",IF(TITLE_DATE_PR="","",TITLE_DATE_PR),TITLE_DATE_PR_CHANGE)</f>
        <v/>
      </c>
      <c r="W32" s="2138"/>
      <c r="X32" s="2138"/>
      <c r="Y32" s="2138"/>
      <c r="Z32" s="2138"/>
      <c r="AA32" s="2138"/>
      <c r="AB32" s="251"/>
      <c r="AC32" s="2138" t="str">
        <f>IF(TITLE_DATE_PR_CHANGE="",IF(TITLE_DATE_PR="","",TITLE_DATE_PR),TITLE_DATE_PR_CHANGE)</f>
        <v/>
      </c>
      <c r="AD32" s="2138"/>
      <c r="AE32" s="2138"/>
      <c r="AF32" s="2138"/>
      <c r="AG32" s="2138"/>
      <c r="AH32" s="2138"/>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7" t="s">
        <v>396</v>
      </c>
      <c r="T33" s="2137"/>
      <c r="U33" s="1290"/>
      <c r="V33" s="2139" t="str">
        <f>IF(TITLE_NUMBER_PR_CHANGE="",IF(TITLE_NUMBER_PR="","",TITLE_NUMBER_PR),TITLE_NUMBER_PR_CHANGE)</f>
        <v/>
      </c>
      <c r="W33" s="2139"/>
      <c r="X33" s="2139"/>
      <c r="Y33" s="2139"/>
      <c r="Z33" s="2139"/>
      <c r="AA33" s="2139"/>
      <c r="AB33" s="251"/>
      <c r="AC33" s="2139" t="str">
        <f>IF(TITLE_NUMBER_PR_CHANGE="",IF(TITLE_NUMBER_PR="","",TITLE_NUMBER_PR),TITLE_NUMBER_PR_CHANGE)</f>
        <v/>
      </c>
      <c r="AD33" s="2139"/>
      <c r="AE33" s="2139"/>
      <c r="AF33" s="2139"/>
      <c r="AG33" s="2139"/>
      <c r="AH33" s="2139"/>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369"/>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8"/>
      <c r="W35" s="2158"/>
      <c r="X35" s="2158"/>
      <c r="Y35" s="2158"/>
      <c r="Z35" s="2158"/>
      <c r="AA35" s="2158"/>
      <c r="AB35" s="2158"/>
      <c r="AC35" s="2158"/>
      <c r="AD35" s="2158"/>
      <c r="AE35" s="2158"/>
      <c r="AF35" s="2158"/>
      <c r="AG35" s="2158"/>
      <c r="AH35" s="2158"/>
      <c r="AI35" s="2158"/>
    </row>
    <row r="36" spans="1:42" ht="14.25" customHeight="1">
      <c r="Q36" s="304"/>
      <c r="R36" s="304"/>
      <c r="S36" s="2019" t="s">
        <v>268</v>
      </c>
      <c r="T36" s="2019"/>
      <c r="U36" s="2019"/>
      <c r="V36" s="2019"/>
      <c r="W36" s="2019"/>
      <c r="X36" s="2019"/>
      <c r="Y36" s="2019"/>
      <c r="Z36" s="2019"/>
      <c r="AA36" s="2019"/>
      <c r="AB36" s="2019"/>
      <c r="AC36" s="2019"/>
      <c r="AD36" s="2019"/>
      <c r="AE36" s="2019"/>
      <c r="AF36" s="2019"/>
      <c r="AG36" s="2019"/>
      <c r="AH36" s="2019"/>
      <c r="AI36" s="2019"/>
      <c r="AJ36" s="2019"/>
      <c r="AK36" s="2019" t="s">
        <v>269</v>
      </c>
    </row>
    <row r="37" spans="1:42" ht="14.25" customHeight="1">
      <c r="Q37" s="304"/>
      <c r="R37" s="304"/>
      <c r="S37" s="2159" t="s">
        <v>73</v>
      </c>
      <c r="T37" s="2107" t="s">
        <v>398</v>
      </c>
      <c r="U37" s="218"/>
      <c r="V37" s="2160" t="s">
        <v>399</v>
      </c>
      <c r="W37" s="2161"/>
      <c r="X37" s="2161"/>
      <c r="Y37" s="2161"/>
      <c r="Z37" s="2161"/>
      <c r="AA37" s="2162"/>
      <c r="AB37" s="2163" t="s">
        <v>400</v>
      </c>
      <c r="AC37" s="2160" t="s">
        <v>399</v>
      </c>
      <c r="AD37" s="2161"/>
      <c r="AE37" s="2161"/>
      <c r="AF37" s="2161"/>
      <c r="AG37" s="2161"/>
      <c r="AH37" s="2162"/>
      <c r="AI37" s="2163" t="s">
        <v>401</v>
      </c>
      <c r="AJ37" s="2166" t="s">
        <v>402</v>
      </c>
      <c r="AK37" s="2019"/>
    </row>
    <row r="38" spans="1:42" ht="33.75" customHeight="1">
      <c r="Q38" s="304"/>
      <c r="R38" s="304"/>
      <c r="S38" s="2159"/>
      <c r="T38" s="2107"/>
      <c r="U38" s="940"/>
      <c r="V38" s="1367" t="s">
        <v>459</v>
      </c>
      <c r="W38" s="2001" t="s">
        <v>405</v>
      </c>
      <c r="X38" s="2000"/>
      <c r="Y38" s="2001" t="s">
        <v>406</v>
      </c>
      <c r="Z38" s="2006"/>
      <c r="AA38" s="2000"/>
      <c r="AB38" s="2164"/>
      <c r="AC38" s="1367" t="s">
        <v>459</v>
      </c>
      <c r="AD38" s="2001" t="s">
        <v>405</v>
      </c>
      <c r="AE38" s="2000"/>
      <c r="AF38" s="2001" t="s">
        <v>406</v>
      </c>
      <c r="AG38" s="2006"/>
      <c r="AH38" s="2000"/>
      <c r="AI38" s="2164"/>
      <c r="AJ38" s="2167"/>
      <c r="AK38" s="2019"/>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9"/>
      <c r="T39" s="2107"/>
      <c r="U39" s="219"/>
      <c r="V39" s="1367" t="s">
        <v>462</v>
      </c>
      <c r="W39" s="1130" t="s">
        <v>463</v>
      </c>
      <c r="X39" s="1130" t="s">
        <v>464</v>
      </c>
      <c r="Y39" s="1370" t="s">
        <v>416</v>
      </c>
      <c r="Z39" s="2112" t="s">
        <v>417</v>
      </c>
      <c r="AA39" s="2126"/>
      <c r="AB39" s="2165"/>
      <c r="AC39" s="1367" t="s">
        <v>462</v>
      </c>
      <c r="AD39" s="1130" t="s">
        <v>463</v>
      </c>
      <c r="AE39" s="1130" t="s">
        <v>464</v>
      </c>
      <c r="AF39" s="1370" t="s">
        <v>416</v>
      </c>
      <c r="AG39" s="2112" t="s">
        <v>417</v>
      </c>
      <c r="AH39" s="2126"/>
      <c r="AI39" s="2165"/>
      <c r="AJ39" s="2168"/>
      <c r="AK39" s="2019"/>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66">
        <f ca="1">OFFSET(V40,0,-1)+1</f>
        <v>3</v>
      </c>
      <c r="W40" s="1366">
        <f ca="1">OFFSET(W40,0,-1)+1</f>
        <v>4</v>
      </c>
      <c r="X40" s="1366">
        <f ca="1">OFFSET(X40,0,-1)+1</f>
        <v>5</v>
      </c>
      <c r="Y40" s="1366">
        <f ca="1">OFFSET(Y40,0,-1)+1</f>
        <v>6</v>
      </c>
      <c r="Z40" s="2157">
        <f ca="1">OFFSET(Z40,0,-1)+1</f>
        <v>7</v>
      </c>
      <c r="AA40" s="2157"/>
      <c r="AB40" s="1366">
        <f ca="1">OFFSET(AB40,0,-2)+1</f>
        <v>8</v>
      </c>
      <c r="AC40" s="1366">
        <f ca="1">OFFSET(AC40,0,-1)+1</f>
        <v>9</v>
      </c>
      <c r="AD40" s="1366">
        <f ca="1">OFFSET(AD40,0,-1)+1</f>
        <v>10</v>
      </c>
      <c r="AE40" s="1366">
        <f ca="1">OFFSET(AE40,0,-1)+1</f>
        <v>11</v>
      </c>
      <c r="AF40" s="1366">
        <f ca="1">OFFSET(AF40,0,-1)+1</f>
        <v>12</v>
      </c>
      <c r="AG40" s="2157">
        <f ca="1">OFFSET(AG40,0,-1)+1</f>
        <v>13</v>
      </c>
      <c r="AH40" s="2157"/>
      <c r="AI40" s="1366">
        <f ca="1">OFFSET(AI40,0,-2)+1</f>
        <v>14</v>
      </c>
      <c r="AJ40" s="1156">
        <f ca="1">OFFSET(AJ40,0,-1)</f>
        <v>14</v>
      </c>
      <c r="AK40" s="1366">
        <f ca="1">OFFSET(AK40,0,-1)+1</f>
        <v>15</v>
      </c>
      <c r="AL40" s="436"/>
      <c r="AM40" s="436"/>
      <c r="AN40" s="436"/>
      <c r="AO40" s="436"/>
      <c r="AP40" s="436"/>
    </row>
    <row r="41" spans="1:42" ht="23.25" customHeight="1">
      <c r="A41" s="1281" t="s">
        <v>199</v>
      </c>
      <c r="B41" s="1281"/>
      <c r="C41" s="1281"/>
      <c r="D41" s="1281"/>
      <c r="E41" s="2146">
        <v>1</v>
      </c>
      <c r="F41" s="1281"/>
      <c r="G41" s="1281"/>
      <c r="H41" s="1281"/>
      <c r="I41" s="1281"/>
      <c r="J41" s="1281"/>
      <c r="K41" s="1281"/>
      <c r="L41" s="1282"/>
      <c r="M41" s="1283"/>
      <c r="N41" s="1283"/>
      <c r="O41" s="1283"/>
      <c r="P41" s="285"/>
      <c r="Q41" s="284"/>
      <c r="R41" s="279"/>
      <c r="S41" s="1372">
        <f>INDEX(PT_DIFFERENTIATION_NUM_NTAR,MATCH(A41,PT_DIFFERENTIATION_NTAR_ID,0))</f>
        <v>0</v>
      </c>
      <c r="T41" s="215" t="s">
        <v>105</v>
      </c>
      <c r="U41" s="217"/>
      <c r="V41" s="2140"/>
      <c r="W41" s="2141"/>
      <c r="X41" s="2141"/>
      <c r="Y41" s="2141"/>
      <c r="Z41" s="2141"/>
      <c r="AA41" s="2141"/>
      <c r="AB41" s="2142"/>
      <c r="AC41" s="2140" t="str">
        <f>INDEX(PT_DIFFERENTIATION_NTAR,MATCH(A41,PT_DIFFERENTIATION_NTAR_ID,0))</f>
        <v/>
      </c>
      <c r="AD41" s="2141"/>
      <c r="AE41" s="2141"/>
      <c r="AF41" s="2141"/>
      <c r="AG41" s="2141"/>
      <c r="AH41" s="2141"/>
      <c r="AI41" s="2141"/>
      <c r="AJ41" s="2142"/>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199</v>
      </c>
      <c r="B42" s="1281" t="s">
        <v>200</v>
      </c>
      <c r="C42" s="1281"/>
      <c r="D42" s="1281"/>
      <c r="E42" s="2147"/>
      <c r="F42" s="2146">
        <v>1</v>
      </c>
      <c r="G42" s="1281"/>
      <c r="H42" s="1281"/>
      <c r="I42" s="1281"/>
      <c r="J42" s="1281"/>
      <c r="K42" s="1281"/>
      <c r="L42" s="1282"/>
      <c r="M42" s="1283"/>
      <c r="N42" s="1283"/>
      <c r="O42" s="1283"/>
      <c r="P42" s="1368"/>
      <c r="Q42" s="276"/>
      <c r="R42" s="277"/>
      <c r="S42" s="1372" t="str">
        <f>INDEX(PT_DIFFERENTIATION_NUM_TER,MATCH(B42,PT_DIFFERENTIATION_TER_ID,0))</f>
        <v>.</v>
      </c>
      <c r="T42" s="227" t="s">
        <v>367</v>
      </c>
      <c r="U42" s="217"/>
      <c r="V42" s="2140"/>
      <c r="W42" s="2141"/>
      <c r="X42" s="2141"/>
      <c r="Y42" s="2141"/>
      <c r="Z42" s="2141"/>
      <c r="AA42" s="2141"/>
      <c r="AB42" s="2142"/>
      <c r="AC42" s="2140" t="str">
        <f>INDEX(PT_DIFFERENTIATION_TER,MATCH(B42,PT_DIFFERENTIATION_TER_ID,0))</f>
        <v/>
      </c>
      <c r="AD42" s="2141"/>
      <c r="AE42" s="2141"/>
      <c r="AF42" s="2141"/>
      <c r="AG42" s="2141"/>
      <c r="AH42" s="2141"/>
      <c r="AI42" s="2141"/>
      <c r="AJ42" s="2142"/>
      <c r="AK42" s="1179" t="s">
        <v>368</v>
      </c>
      <c r="AM42" s="425"/>
      <c r="AN42" s="425" t="str">
        <f t="shared" si="1"/>
        <v>Территория действия тарифа</v>
      </c>
      <c r="AO42" s="425"/>
      <c r="AP42" s="425"/>
    </row>
    <row r="43" spans="1:42" ht="23.25" customHeight="1">
      <c r="A43" s="1281" t="s">
        <v>199</v>
      </c>
      <c r="B43" s="1281" t="s">
        <v>200</v>
      </c>
      <c r="C43" s="1281" t="s">
        <v>201</v>
      </c>
      <c r="D43" s="1281"/>
      <c r="E43" s="2147"/>
      <c r="F43" s="2147"/>
      <c r="G43" s="2146">
        <v>1</v>
      </c>
      <c r="H43" s="1281"/>
      <c r="I43" s="1281"/>
      <c r="J43" s="1281"/>
      <c r="K43" s="1281"/>
      <c r="L43" s="1282"/>
      <c r="M43" s="1283"/>
      <c r="N43" s="1283"/>
      <c r="O43" s="1283"/>
      <c r="P43" s="278"/>
      <c r="Q43" s="276"/>
      <c r="R43" s="277"/>
      <c r="S43" s="1372" t="str">
        <f>INDEX(PT_DIFFERENTIATION_NUM_CS,MATCH(C43,PT_DIFFERENTIATION_CS_ID,0))</f>
        <v>..</v>
      </c>
      <c r="T43" s="228" t="s">
        <v>451</v>
      </c>
      <c r="U43" s="217"/>
      <c r="V43" s="2140"/>
      <c r="W43" s="2141"/>
      <c r="X43" s="2141"/>
      <c r="Y43" s="2141"/>
      <c r="Z43" s="2141"/>
      <c r="AA43" s="2141"/>
      <c r="AB43" s="2142"/>
      <c r="AC43" s="2140" t="str">
        <f>INDEX(PT_DIFFERENTIATION_CS,MATCH(C43,PT_DIFFERENTIATION_CS_ID,0))</f>
        <v/>
      </c>
      <c r="AD43" s="2141"/>
      <c r="AE43" s="2141"/>
      <c r="AF43" s="2141"/>
      <c r="AG43" s="2141"/>
      <c r="AH43" s="2141"/>
      <c r="AI43" s="2141"/>
      <c r="AJ43" s="2142"/>
      <c r="AK43" s="1179" t="s">
        <v>452</v>
      </c>
      <c r="AM43" s="425"/>
      <c r="AN43" s="425" t="str">
        <f t="shared" si="1"/>
        <v>Наименование централизованной системы холодного водоснабжения</v>
      </c>
      <c r="AO43" s="425"/>
      <c r="AP43" s="425"/>
    </row>
    <row r="44" spans="1:42" ht="23.25" customHeight="1">
      <c r="A44" s="1281" t="s">
        <v>199</v>
      </c>
      <c r="B44" s="1281" t="s">
        <v>200</v>
      </c>
      <c r="C44" s="1281" t="s">
        <v>201</v>
      </c>
      <c r="D44" s="1281" t="s">
        <v>466</v>
      </c>
      <c r="E44" s="2147"/>
      <c r="F44" s="2147"/>
      <c r="G44" s="2147"/>
      <c r="H44" s="2147"/>
      <c r="I44" s="2148" t="str">
        <f>S43&amp;".1"</f>
        <v>...1</v>
      </c>
      <c r="J44" s="1281"/>
      <c r="K44" s="1281"/>
      <c r="L44" s="1282"/>
      <c r="P44" s="2150">
        <v>1</v>
      </c>
      <c r="Q44" s="1365"/>
      <c r="R44" s="280"/>
      <c r="S44" s="1372"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199</v>
      </c>
      <c r="B45" s="1281" t="s">
        <v>200</v>
      </c>
      <c r="C45" s="1281" t="s">
        <v>201</v>
      </c>
      <c r="D45" s="1281" t="s">
        <v>466</v>
      </c>
      <c r="E45" s="2147"/>
      <c r="F45" s="2147"/>
      <c r="G45" s="2147"/>
      <c r="H45" s="2147"/>
      <c r="I45" s="2149"/>
      <c r="J45" s="2148" t="str">
        <f>I44&amp;".1"</f>
        <v>...1.1</v>
      </c>
      <c r="K45" s="1281"/>
      <c r="L45" s="1282" t="s">
        <v>376</v>
      </c>
      <c r="P45" s="2150"/>
      <c r="Q45" s="2150">
        <v>1</v>
      </c>
      <c r="R45" s="281"/>
      <c r="S45" s="1372" t="str">
        <f>$J45</f>
        <v>...1.1</v>
      </c>
      <c r="T45" s="203" t="s">
        <v>377</v>
      </c>
      <c r="U45" s="217"/>
      <c r="V45" s="2134"/>
      <c r="W45" s="2135"/>
      <c r="X45" s="2135"/>
      <c r="Y45" s="2135"/>
      <c r="Z45" s="2135"/>
      <c r="AA45" s="2135"/>
      <c r="AB45" s="2136"/>
      <c r="AC45" s="2134"/>
      <c r="AD45" s="2135"/>
      <c r="AE45" s="2135"/>
      <c r="AF45" s="2135"/>
      <c r="AG45" s="2135"/>
      <c r="AH45" s="2135"/>
      <c r="AI45" s="2135"/>
      <c r="AJ45" s="2136"/>
      <c r="AK45" s="1228" t="s">
        <v>455</v>
      </c>
      <c r="AM45" s="425"/>
      <c r="AN45" s="425" t="str">
        <f t="shared" si="1"/>
        <v>Группа потребителей</v>
      </c>
      <c r="AO45" s="425"/>
      <c r="AP45" s="425"/>
    </row>
    <row r="46" spans="1:42" ht="23.25" customHeight="1">
      <c r="A46" s="1281" t="s">
        <v>199</v>
      </c>
      <c r="B46" s="1281" t="s">
        <v>200</v>
      </c>
      <c r="C46" s="1281" t="s">
        <v>201</v>
      </c>
      <c r="D46" s="1281" t="s">
        <v>466</v>
      </c>
      <c r="E46" s="2147"/>
      <c r="F46" s="2147"/>
      <c r="G46" s="2147"/>
      <c r="H46" s="2147"/>
      <c r="I46" s="2149"/>
      <c r="J46" s="2149"/>
      <c r="K46" s="2148" t="str">
        <f>J45&amp;".1"</f>
        <v>...1.1.1</v>
      </c>
      <c r="L46" s="1282"/>
      <c r="P46" s="2150"/>
      <c r="Q46" s="2150"/>
      <c r="R46" s="281">
        <v>1</v>
      </c>
      <c r="S46" s="1372" t="str">
        <f>$K46</f>
        <v>...1.1.1</v>
      </c>
      <c r="T46" s="1354"/>
      <c r="U46" s="217"/>
      <c r="V46" s="668"/>
      <c r="W46" s="668"/>
      <c r="X46" s="1178"/>
      <c r="Y46" s="2151"/>
      <c r="Z46" s="2029" t="s">
        <v>50</v>
      </c>
      <c r="AA46" s="2151"/>
      <c r="AB46" s="2029" t="s">
        <v>50</v>
      </c>
      <c r="AC46" s="668"/>
      <c r="AD46" s="668"/>
      <c r="AE46" s="1178"/>
      <c r="AF46" s="2151"/>
      <c r="AG46" s="2029" t="s">
        <v>50</v>
      </c>
      <c r="AH46" s="2153"/>
      <c r="AI46" s="2029" t="s">
        <v>50</v>
      </c>
      <c r="AJ46" s="1355"/>
      <c r="AK46"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199</v>
      </c>
      <c r="B47" s="1281" t="s">
        <v>200</v>
      </c>
      <c r="C47" s="1281" t="s">
        <v>201</v>
      </c>
      <c r="D47" s="1281" t="s">
        <v>466</v>
      </c>
      <c r="E47" s="2147"/>
      <c r="F47" s="2147"/>
      <c r="G47" s="2147"/>
      <c r="H47" s="2147"/>
      <c r="I47" s="2149"/>
      <c r="J47" s="2149"/>
      <c r="K47" s="2148"/>
      <c r="L47" s="1282"/>
      <c r="P47" s="2150"/>
      <c r="Q47" s="2150"/>
      <c r="R47" s="281"/>
      <c r="S47" s="1371"/>
      <c r="T47" s="217"/>
      <c r="U47" s="217"/>
      <c r="V47" s="249"/>
      <c r="W47" s="249"/>
      <c r="X47" s="253" t="str">
        <f>Y46&amp;"-"&amp;AA46</f>
        <v>-</v>
      </c>
      <c r="Y47" s="2152"/>
      <c r="Z47" s="2029"/>
      <c r="AA47" s="2152"/>
      <c r="AB47" s="2029"/>
      <c r="AC47" s="249"/>
      <c r="AD47" s="249"/>
      <c r="AE47" s="253" t="str">
        <f>AF46&amp;"-"&amp;AH46</f>
        <v>-</v>
      </c>
      <c r="AF47" s="2152"/>
      <c r="AG47" s="2029"/>
      <c r="AH47" s="2154"/>
      <c r="AI47" s="2029"/>
      <c r="AJ47" s="1356"/>
      <c r="AK47" s="2212"/>
      <c r="AM47" s="425"/>
      <c r="AN47" s="425" t="str">
        <f t="shared" si="1"/>
        <v/>
      </c>
      <c r="AO47" s="425"/>
      <c r="AP47" s="425"/>
    </row>
    <row r="48" spans="1:42" ht="21" customHeight="1">
      <c r="A48" s="1281" t="s">
        <v>199</v>
      </c>
      <c r="B48" s="1281" t="s">
        <v>200</v>
      </c>
      <c r="C48" s="1281" t="s">
        <v>201</v>
      </c>
      <c r="D48" s="1281" t="s">
        <v>466</v>
      </c>
      <c r="E48" s="2147"/>
      <c r="F48" s="2147"/>
      <c r="G48" s="2147"/>
      <c r="H48" s="2147"/>
      <c r="I48" s="2149"/>
      <c r="J48" s="2148"/>
      <c r="K48" s="1281"/>
      <c r="L48" s="1282"/>
      <c r="P48" s="2150"/>
      <c r="Q48" s="2150"/>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199</v>
      </c>
      <c r="B49" s="1281" t="s">
        <v>200</v>
      </c>
      <c r="C49" s="1281" t="s">
        <v>201</v>
      </c>
      <c r="D49" s="1281" t="s">
        <v>466</v>
      </c>
      <c r="E49" s="2147"/>
      <c r="F49" s="2147"/>
      <c r="G49" s="2147"/>
      <c r="H49" s="2147"/>
      <c r="I49" s="2148"/>
      <c r="J49" s="1281"/>
      <c r="K49" s="1281"/>
      <c r="L49" s="1282"/>
      <c r="P49" s="2150"/>
      <c r="Q49" s="1365"/>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199</v>
      </c>
      <c r="B50" s="1281" t="s">
        <v>200</v>
      </c>
      <c r="C50" s="1281" t="s">
        <v>201</v>
      </c>
      <c r="D50" s="1281" t="s">
        <v>466</v>
      </c>
      <c r="E50" s="2147"/>
      <c r="F50" s="2147"/>
      <c r="G50" s="2147"/>
      <c r="H50" s="2146"/>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199</v>
      </c>
      <c r="B51" s="1262" t="s">
        <v>200</v>
      </c>
      <c r="C51" s="1234"/>
      <c r="D51" s="1234"/>
      <c r="E51" s="2147"/>
      <c r="F51" s="2146"/>
      <c r="G51" s="1234"/>
      <c r="H51" s="1234"/>
      <c r="I51" s="1234"/>
      <c r="J51" s="1234"/>
      <c r="K51" s="1234"/>
      <c r="L51" s="137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199</v>
      </c>
      <c r="B52" s="1262"/>
      <c r="C52" s="1262"/>
      <c r="D52" s="1262"/>
      <c r="E52" s="2146"/>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7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5"/>
      <c r="U55" s="2145"/>
      <c r="V55" s="2145"/>
      <c r="W55" s="2145"/>
      <c r="X55" s="2145"/>
      <c r="Y55" s="2145"/>
      <c r="Z55" s="2145"/>
      <c r="AA55" s="2145"/>
      <c r="AB55" s="2145"/>
      <c r="AC55" s="2145"/>
      <c r="AD55" s="2145"/>
      <c r="AE55" s="2145"/>
      <c r="AF55" s="2145"/>
      <c r="AG55" s="2145"/>
      <c r="AH55" s="2145"/>
      <c r="AI55" s="2145"/>
      <c r="AJ55" s="2145"/>
      <c r="AK55" s="2145"/>
    </row>
    <row r="56" spans="1:42" ht="14.25" customHeight="1">
      <c r="O56" s="461"/>
    </row>
    <row r="57" spans="1:42" ht="14.25" customHeight="1">
      <c r="O57" s="461"/>
      <c r="S57" s="1166"/>
      <c r="T57" s="2145"/>
      <c r="U57" s="2145"/>
      <c r="V57" s="2145"/>
      <c r="W57" s="2145"/>
      <c r="X57" s="2145"/>
      <c r="Y57" s="2145"/>
      <c r="Z57" s="2145"/>
      <c r="AA57" s="2145"/>
      <c r="AB57" s="2145"/>
      <c r="AC57" s="2145"/>
      <c r="AD57" s="2145"/>
      <c r="AE57" s="2145"/>
      <c r="AF57" s="2145"/>
      <c r="AG57" s="2145"/>
      <c r="AH57" s="2145"/>
      <c r="AI57" s="2145"/>
      <c r="AJ57" s="2145"/>
      <c r="AK57" s="2145"/>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8" hidden="1" customWidth="1"/>
    <col min="13" max="14" width="12.28515625" style="1884" hidden="1" customWidth="1"/>
    <col min="15" max="15" width="23.42578125" style="1884" hidden="1" customWidth="1"/>
    <col min="16" max="16" width="3.7109375" style="1899"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6">
        <v>1</v>
      </c>
      <c r="F2" s="1281"/>
      <c r="G2" s="1281"/>
      <c r="H2" s="1281"/>
      <c r="I2" s="1281"/>
      <c r="J2" s="1281"/>
      <c r="K2" s="1281"/>
      <c r="L2" s="1282"/>
      <c r="M2" s="1283"/>
      <c r="N2" s="1283"/>
      <c r="O2" s="1283"/>
      <c r="P2" s="285"/>
      <c r="Q2" s="284"/>
      <c r="R2" s="279"/>
      <c r="S2" s="1372" t="e">
        <f>INDEX(PT_DIFFERENTIATION_NUM_NTAR,MATCH(A2,PT_DIFFERENTIATION_NTAR_ID,0))</f>
        <v>#N/A</v>
      </c>
      <c r="T2" s="215" t="s">
        <v>105</v>
      </c>
      <c r="U2" s="217"/>
      <c r="V2" s="2140"/>
      <c r="W2" s="2141"/>
      <c r="X2" s="2141"/>
      <c r="Y2" s="2141"/>
      <c r="Z2" s="2141"/>
      <c r="AA2" s="2141"/>
      <c r="AB2" s="2142"/>
      <c r="AC2" s="2140" t="e">
        <f>INDEX(PT_DIFFERENTIATION_NTAR,MATCH(A2,PT_DIFFERENTIATION_NTAR_ID,0))</f>
        <v>#N/A</v>
      </c>
      <c r="AD2" s="2141"/>
      <c r="AE2" s="2141"/>
      <c r="AF2" s="2141"/>
      <c r="AG2" s="2141"/>
      <c r="AH2" s="2141"/>
      <c r="AI2" s="2141"/>
      <c r="AJ2" s="2142"/>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7"/>
      <c r="F3" s="2146">
        <v>1</v>
      </c>
      <c r="G3" s="1281"/>
      <c r="H3" s="1281"/>
      <c r="I3" s="1281"/>
      <c r="J3" s="1281"/>
      <c r="K3" s="1281"/>
      <c r="L3" s="1282"/>
      <c r="M3" s="1283"/>
      <c r="N3" s="1283"/>
      <c r="O3" s="1283"/>
      <c r="P3" s="1368"/>
      <c r="Q3" s="276"/>
      <c r="R3" s="277"/>
      <c r="S3" s="1372" t="e">
        <f>INDEX(PT_DIFFERENTIATION_NUM_TER,MATCH(B3,PT_DIFFERENTIATION_TER_ID,0))</f>
        <v>#N/A</v>
      </c>
      <c r="T3" s="227" t="s">
        <v>367</v>
      </c>
      <c r="U3" s="217"/>
      <c r="V3" s="2140"/>
      <c r="W3" s="2141"/>
      <c r="X3" s="2141"/>
      <c r="Y3" s="2141"/>
      <c r="Z3" s="2141"/>
      <c r="AA3" s="2141"/>
      <c r="AB3" s="2142"/>
      <c r="AC3" s="2140" t="e">
        <f>INDEX(PT_DIFFERENTIATION_TER,MATCH(B3,PT_DIFFERENTIATION_TER_ID,0))</f>
        <v>#N/A</v>
      </c>
      <c r="AD3" s="2141"/>
      <c r="AE3" s="2141"/>
      <c r="AF3" s="2141"/>
      <c r="AG3" s="2141"/>
      <c r="AH3" s="2141"/>
      <c r="AI3" s="2141"/>
      <c r="AJ3" s="2142"/>
      <c r="AK3" s="1179" t="s">
        <v>368</v>
      </c>
      <c r="AM3" s="425"/>
      <c r="AN3" s="425" t="str">
        <f t="shared" si="0"/>
        <v>Территория действия тарифа</v>
      </c>
      <c r="AO3" s="425"/>
      <c r="AP3" s="425"/>
    </row>
    <row r="4" spans="1:42" ht="23.25" hidden="1" customHeight="1">
      <c r="A4" s="1281"/>
      <c r="B4" s="1281"/>
      <c r="C4" s="1281"/>
      <c r="D4" s="1281"/>
      <c r="E4" s="2147"/>
      <c r="F4" s="2147"/>
      <c r="G4" s="2146">
        <v>1</v>
      </c>
      <c r="H4" s="1281"/>
      <c r="I4" s="1281"/>
      <c r="J4" s="1281"/>
      <c r="K4" s="1281"/>
      <c r="L4" s="1282"/>
      <c r="M4" s="1283"/>
      <c r="N4" s="1283"/>
      <c r="O4" s="1283"/>
      <c r="P4" s="278"/>
      <c r="Q4" s="276"/>
      <c r="R4" s="277"/>
      <c r="S4" s="1372" t="e">
        <f>INDEX(PT_DIFFERENTIATION_NUM_CS,MATCH(C4,PT_DIFFERENTIATION_CS_ID,0))</f>
        <v>#N/A</v>
      </c>
      <c r="T4" s="228" t="s">
        <v>451</v>
      </c>
      <c r="U4" s="217"/>
      <c r="V4" s="2140"/>
      <c r="W4" s="2141"/>
      <c r="X4" s="2141"/>
      <c r="Y4" s="2141"/>
      <c r="Z4" s="2141"/>
      <c r="AA4" s="2141"/>
      <c r="AB4" s="2142"/>
      <c r="AC4" s="2140" t="e">
        <f>INDEX(PT_DIFFERENTIATION_CS,MATCH(C4,PT_DIFFERENTIATION_CS_ID,0))</f>
        <v>#N/A</v>
      </c>
      <c r="AD4" s="2141"/>
      <c r="AE4" s="2141"/>
      <c r="AF4" s="2141"/>
      <c r="AG4" s="2141"/>
      <c r="AH4" s="2141"/>
      <c r="AI4" s="2141"/>
      <c r="AJ4" s="2142"/>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7"/>
      <c r="F5" s="2147"/>
      <c r="G5" s="2147"/>
      <c r="H5" s="2147"/>
      <c r="I5" s="2148" t="e">
        <f>S4&amp;".1"</f>
        <v>#N/A</v>
      </c>
      <c r="J5" s="1281"/>
      <c r="K5" s="1281"/>
      <c r="L5" s="1282"/>
      <c r="P5" s="2150">
        <v>1</v>
      </c>
      <c r="Q5" s="1365"/>
      <c r="R5" s="280"/>
      <c r="S5" s="1372"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7"/>
      <c r="F6" s="2147"/>
      <c r="G6" s="2147"/>
      <c r="H6" s="2147"/>
      <c r="I6" s="2149"/>
      <c r="J6" s="2148" t="e">
        <f>I5&amp;".1"</f>
        <v>#N/A</v>
      </c>
      <c r="K6" s="1281"/>
      <c r="L6" s="1282" t="s">
        <v>376</v>
      </c>
      <c r="P6" s="2150"/>
      <c r="Q6" s="2150">
        <v>1</v>
      </c>
      <c r="R6" s="281"/>
      <c r="S6" s="1372" t="e">
        <f>$J6</f>
        <v>#N/A</v>
      </c>
      <c r="T6" s="203" t="s">
        <v>377</v>
      </c>
      <c r="U6" s="217"/>
      <c r="V6" s="2134"/>
      <c r="W6" s="2135"/>
      <c r="X6" s="2135"/>
      <c r="Y6" s="2135"/>
      <c r="Z6" s="2135"/>
      <c r="AA6" s="2135"/>
      <c r="AB6" s="2136"/>
      <c r="AC6" s="2134"/>
      <c r="AD6" s="2135"/>
      <c r="AE6" s="2135"/>
      <c r="AF6" s="2135"/>
      <c r="AG6" s="2135"/>
      <c r="AH6" s="2135"/>
      <c r="AI6" s="2135"/>
      <c r="AJ6" s="2136"/>
      <c r="AK6" s="1228" t="s">
        <v>455</v>
      </c>
      <c r="AM6" s="425"/>
      <c r="AN6" s="425" t="str">
        <f t="shared" si="0"/>
        <v>Группа потребителей</v>
      </c>
      <c r="AO6" s="425"/>
      <c r="AP6" s="425"/>
    </row>
    <row r="7" spans="1:42" ht="23.25" hidden="1" customHeight="1">
      <c r="A7" s="1281"/>
      <c r="B7" s="1281"/>
      <c r="C7" s="1281"/>
      <c r="D7" s="1281"/>
      <c r="E7" s="2147"/>
      <c r="F7" s="2147"/>
      <c r="G7" s="2147"/>
      <c r="H7" s="2147"/>
      <c r="I7" s="2149"/>
      <c r="J7" s="2149"/>
      <c r="K7" s="2148" t="e">
        <f>J6&amp;".1"</f>
        <v>#N/A</v>
      </c>
      <c r="L7" s="1282"/>
      <c r="P7" s="2150"/>
      <c r="Q7" s="2150"/>
      <c r="R7" s="281">
        <v>1</v>
      </c>
      <c r="S7" s="1372" t="e">
        <f>$K7</f>
        <v>#N/A</v>
      </c>
      <c r="T7" s="1354"/>
      <c r="U7" s="217"/>
      <c r="V7" s="668"/>
      <c r="W7" s="668"/>
      <c r="X7" s="1178"/>
      <c r="Y7" s="2151"/>
      <c r="Z7" s="2029" t="s">
        <v>50</v>
      </c>
      <c r="AA7" s="2151"/>
      <c r="AB7" s="2029" t="s">
        <v>50</v>
      </c>
      <c r="AC7" s="668"/>
      <c r="AD7" s="668"/>
      <c r="AE7" s="1178"/>
      <c r="AF7" s="2151"/>
      <c r="AG7" s="2029" t="s">
        <v>50</v>
      </c>
      <c r="AH7" s="2153"/>
      <c r="AI7" s="2029" t="s">
        <v>50</v>
      </c>
      <c r="AJ7" s="1355"/>
      <c r="AK7"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7"/>
      <c r="F8" s="2147"/>
      <c r="G8" s="2147"/>
      <c r="H8" s="2147"/>
      <c r="I8" s="2149"/>
      <c r="J8" s="2149"/>
      <c r="K8" s="2148"/>
      <c r="L8" s="1282"/>
      <c r="P8" s="2150"/>
      <c r="Q8" s="2150"/>
      <c r="R8" s="281"/>
      <c r="S8" s="1371"/>
      <c r="T8" s="217"/>
      <c r="U8" s="217"/>
      <c r="V8" s="249"/>
      <c r="W8" s="249"/>
      <c r="X8" s="253" t="str">
        <f>Y7&amp;"-"&amp;AA7</f>
        <v>-</v>
      </c>
      <c r="Y8" s="2152"/>
      <c r="Z8" s="2029"/>
      <c r="AA8" s="2152"/>
      <c r="AB8" s="2029"/>
      <c r="AC8" s="249"/>
      <c r="AD8" s="249"/>
      <c r="AE8" s="253" t="str">
        <f>AF7&amp;"-"&amp;AH7</f>
        <v>-</v>
      </c>
      <c r="AF8" s="2152"/>
      <c r="AG8" s="2029"/>
      <c r="AH8" s="2154"/>
      <c r="AI8" s="2029"/>
      <c r="AJ8" s="1356"/>
      <c r="AK8" s="2212"/>
      <c r="AM8" s="425"/>
      <c r="AN8" s="425" t="str">
        <f t="shared" si="0"/>
        <v/>
      </c>
      <c r="AO8" s="425"/>
      <c r="AP8" s="425"/>
    </row>
    <row r="9" spans="1:42" ht="21" hidden="1" customHeight="1">
      <c r="A9" s="1281"/>
      <c r="B9" s="1281"/>
      <c r="C9" s="1281"/>
      <c r="D9" s="1281"/>
      <c r="E9" s="2147"/>
      <c r="F9" s="2147"/>
      <c r="G9" s="2147"/>
      <c r="H9" s="2147"/>
      <c r="I9" s="2149"/>
      <c r="J9" s="2148"/>
      <c r="K9" s="1281"/>
      <c r="L9" s="1282"/>
      <c r="P9" s="2150"/>
      <c r="Q9" s="2150"/>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7"/>
      <c r="F10" s="2147"/>
      <c r="G10" s="2147"/>
      <c r="H10" s="2147"/>
      <c r="I10" s="2148"/>
      <c r="J10" s="1281"/>
      <c r="K10" s="1281"/>
      <c r="L10" s="1282"/>
      <c r="P10" s="2150"/>
      <c r="Q10" s="1365"/>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7"/>
      <c r="F11" s="2147"/>
      <c r="G11" s="2147"/>
      <c r="H11" s="2146"/>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7"/>
      <c r="F12" s="2146"/>
      <c r="G12" s="1234"/>
      <c r="H12" s="1234"/>
      <c r="I12" s="1234"/>
      <c r="J12" s="1234"/>
      <c r="K12" s="1234"/>
      <c r="L12" s="137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6"/>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4"/>
      <c r="AG15" s="2143" t="s">
        <v>50</v>
      </c>
      <c r="AH15" s="2144"/>
      <c r="AI15" s="2143" t="s">
        <v>50</v>
      </c>
    </row>
    <row r="16" spans="1:42" ht="14.25" hidden="1" customHeight="1">
      <c r="AC16" s="1278"/>
      <c r="AD16" s="1278"/>
      <c r="AE16" s="253" t="str">
        <f>AF15&amp;"-"&amp;AH15</f>
        <v>-</v>
      </c>
      <c r="AF16" s="2143"/>
      <c r="AG16" s="2143"/>
      <c r="AH16" s="2143"/>
      <c r="AI16" s="2143"/>
    </row>
    <row r="17" spans="1:42" ht="14.25" hidden="1" customHeight="1">
      <c r="AI17" s="252"/>
    </row>
    <row r="18" spans="1:42" s="1882" customFormat="1" ht="22.5" hidden="1" customHeight="1">
      <c r="L18" s="1362"/>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62"/>
      <c r="M19" s="1280"/>
      <c r="N19" s="1280"/>
      <c r="O19" s="1280"/>
      <c r="P19" s="1280"/>
      <c r="Q19" s="1289"/>
      <c r="R19" s="1289"/>
      <c r="S19" s="648"/>
      <c r="AB19" s="1284"/>
      <c r="AI19" s="1284"/>
      <c r="AL19" s="436"/>
      <c r="AM19" s="436"/>
      <c r="AN19" s="436"/>
      <c r="AO19" s="436"/>
      <c r="AP19" s="436"/>
    </row>
    <row r="20" spans="1:42" s="1882" customFormat="1" ht="12" hidden="1" customHeight="1">
      <c r="L20" s="1362"/>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2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7"/>
      <c r="U24" s="2127"/>
      <c r="V24" s="2127"/>
      <c r="W24" s="2127"/>
      <c r="X24" s="2127"/>
      <c r="Y24" s="2127"/>
      <c r="Z24" s="2127"/>
      <c r="AA24" s="2127"/>
      <c r="AB24" s="2127"/>
      <c r="AC24" s="2127"/>
      <c r="AD24" s="2127"/>
      <c r="AE24" s="2127"/>
      <c r="AF24" s="2127"/>
      <c r="AG24" s="2127"/>
      <c r="AH24" s="2127"/>
      <c r="AI24" s="1154"/>
    </row>
    <row r="25" spans="1:42" ht="14.25" customHeight="1">
      <c r="Q25" s="304"/>
      <c r="R25" s="304"/>
      <c r="S25" s="2098" t="str">
        <f>IF(org=0,"Не определено",org)</f>
        <v>ООО "Горводоканал"</v>
      </c>
      <c r="T25" s="2098"/>
      <c r="U25" s="2098"/>
      <c r="V25" s="2098"/>
      <c r="W25" s="2098"/>
      <c r="X25" s="2098"/>
      <c r="Y25" s="2098"/>
      <c r="Z25" s="2098"/>
      <c r="AA25" s="2098"/>
      <c r="AB25" s="2098"/>
      <c r="AC25" s="2098"/>
      <c r="AD25" s="2098"/>
      <c r="AE25" s="2098"/>
      <c r="AF25" s="2098"/>
      <c r="AG25" s="2098"/>
      <c r="AH25" s="2098"/>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7" t="s">
        <v>37</v>
      </c>
      <c r="T27" s="2137"/>
      <c r="U27" s="1290"/>
      <c r="V27" s="2139" t="str">
        <f>IF(TITLE_NAME_OR_PR_CHANGE="",IF(TITLE_NAME_OR_PR="","",TITLE_NAME_OR_PR),TITLE_NAME_OR_PR_CHANGE)</f>
        <v/>
      </c>
      <c r="W27" s="2139"/>
      <c r="X27" s="2139"/>
      <c r="Y27" s="2139"/>
      <c r="Z27" s="2139"/>
      <c r="AA27" s="2139"/>
      <c r="AB27" s="251"/>
      <c r="AC27" s="2139" t="str">
        <f>IF(TITLE_NAME_OR_PR_CHANGE="",IF(TITLE_NAME_OR_PR="","",TITLE_NAME_OR_PR),TITLE_NAME_OR_PR_CHANGE)</f>
        <v/>
      </c>
      <c r="AD27" s="2139"/>
      <c r="AE27" s="2139"/>
      <c r="AF27" s="2139"/>
      <c r="AG27" s="2139"/>
      <c r="AH27" s="2139"/>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7" t="s">
        <v>393</v>
      </c>
      <c r="T28" s="2137"/>
      <c r="U28" s="1290"/>
      <c r="V28" s="2138" t="str">
        <f>IF(TITLE_DATE_PR_CHANGE="",IF(TITLE_DATE_PR="","",TITLE_DATE_PR),TITLE_DATE_PR_CHANGE)</f>
        <v/>
      </c>
      <c r="W28" s="2138"/>
      <c r="X28" s="2138"/>
      <c r="Y28" s="2138"/>
      <c r="Z28" s="2138"/>
      <c r="AA28" s="2138"/>
      <c r="AB28" s="251"/>
      <c r="AC28" s="2138" t="str">
        <f>IF(TITLE_DATE_PR_CHANGE="",IF(TITLE_DATE_PR="","",TITLE_DATE_PR),TITLE_DATE_PR_CHANGE)</f>
        <v/>
      </c>
      <c r="AD28" s="2138"/>
      <c r="AE28" s="2138"/>
      <c r="AF28" s="2138"/>
      <c r="AG28" s="2138"/>
      <c r="AH28" s="2138"/>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7" t="s">
        <v>394</v>
      </c>
      <c r="T29" s="2137"/>
      <c r="U29" s="1290"/>
      <c r="V29" s="2139" t="str">
        <f>IF(TITLE_NUMBER_PR_CHANGE="",IF(TITLE_NUMBER_PR="","",TITLE_NUMBER_PR),TITLE_NUMBER_PR_CHANGE)</f>
        <v/>
      </c>
      <c r="W29" s="2139"/>
      <c r="X29" s="2139"/>
      <c r="Y29" s="2139"/>
      <c r="Z29" s="2139"/>
      <c r="AA29" s="2139"/>
      <c r="AB29" s="251"/>
      <c r="AC29" s="2139" t="str">
        <f>IF(TITLE_NUMBER_PR_CHANGE="",IF(TITLE_NUMBER_PR="","",TITLE_NUMBER_PR),TITLE_NUMBER_PR_CHANGE)</f>
        <v/>
      </c>
      <c r="AD29" s="2139"/>
      <c r="AE29" s="2139"/>
      <c r="AF29" s="2139"/>
      <c r="AG29" s="2139"/>
      <c r="AH29" s="2139"/>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7" t="s">
        <v>38</v>
      </c>
      <c r="T30" s="2137"/>
      <c r="U30" s="1290"/>
      <c r="V30" s="2139" t="str">
        <f>IF(TITLE_IST_PUB_CHANGE="",IF(TITLE_IST_PUB="","",TITLE_IST_PUB),TITLE_IST_PUB_CHANGE)</f>
        <v/>
      </c>
      <c r="W30" s="2139"/>
      <c r="X30" s="2139"/>
      <c r="Y30" s="2139"/>
      <c r="Z30" s="2139"/>
      <c r="AA30" s="2139"/>
      <c r="AB30" s="251"/>
      <c r="AC30" s="2139" t="str">
        <f>IF(TITLE_IST_PUB_CHANGE="",IF(TITLE_IST_PUB="","",TITLE_IST_PUB),TITLE_IST_PUB_CHANGE)</f>
        <v/>
      </c>
      <c r="AD30" s="2139"/>
      <c r="AE30" s="2139"/>
      <c r="AF30" s="2139"/>
      <c r="AG30" s="2139"/>
      <c r="AH30" s="2139"/>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7" t="s">
        <v>395</v>
      </c>
      <c r="T32" s="2137"/>
      <c r="U32" s="1290"/>
      <c r="V32" s="2138" t="str">
        <f>IF(TITLE_DATE_PR_CHANGE="",IF(TITLE_DATE_PR="","",TITLE_DATE_PR),TITLE_DATE_PR_CHANGE)</f>
        <v/>
      </c>
      <c r="W32" s="2138"/>
      <c r="X32" s="2138"/>
      <c r="Y32" s="2138"/>
      <c r="Z32" s="2138"/>
      <c r="AA32" s="2138"/>
      <c r="AB32" s="251"/>
      <c r="AC32" s="2138" t="str">
        <f>IF(TITLE_DATE_PR_CHANGE="",IF(TITLE_DATE_PR="","",TITLE_DATE_PR),TITLE_DATE_PR_CHANGE)</f>
        <v/>
      </c>
      <c r="AD32" s="2138"/>
      <c r="AE32" s="2138"/>
      <c r="AF32" s="2138"/>
      <c r="AG32" s="2138"/>
      <c r="AH32" s="2138"/>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7" t="s">
        <v>396</v>
      </c>
      <c r="T33" s="2137"/>
      <c r="U33" s="1290"/>
      <c r="V33" s="2139" t="str">
        <f>IF(TITLE_NUMBER_PR_CHANGE="",IF(TITLE_NUMBER_PR="","",TITLE_NUMBER_PR),TITLE_NUMBER_PR_CHANGE)</f>
        <v/>
      </c>
      <c r="W33" s="2139"/>
      <c r="X33" s="2139"/>
      <c r="Y33" s="2139"/>
      <c r="Z33" s="2139"/>
      <c r="AA33" s="2139"/>
      <c r="AB33" s="251"/>
      <c r="AC33" s="2139" t="str">
        <f>IF(TITLE_NUMBER_PR_CHANGE="",IF(TITLE_NUMBER_PR="","",TITLE_NUMBER_PR),TITLE_NUMBER_PR_CHANGE)</f>
        <v/>
      </c>
      <c r="AD33" s="2139"/>
      <c r="AE33" s="2139"/>
      <c r="AF33" s="2139"/>
      <c r="AG33" s="2139"/>
      <c r="AH33" s="2139"/>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369"/>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8"/>
      <c r="W35" s="2158"/>
      <c r="X35" s="2158"/>
      <c r="Y35" s="2158"/>
      <c r="Z35" s="2158"/>
      <c r="AA35" s="2158"/>
      <c r="AB35" s="2158"/>
      <c r="AC35" s="2158"/>
      <c r="AD35" s="2158"/>
      <c r="AE35" s="2158"/>
      <c r="AF35" s="2158"/>
      <c r="AG35" s="2158"/>
      <c r="AH35" s="2158"/>
      <c r="AI35" s="2158"/>
    </row>
    <row r="36" spans="1:42" ht="14.25" customHeight="1">
      <c r="Q36" s="304"/>
      <c r="R36" s="304"/>
      <c r="S36" s="2019" t="s">
        <v>268</v>
      </c>
      <c r="T36" s="2019"/>
      <c r="U36" s="2019"/>
      <c r="V36" s="2019"/>
      <c r="W36" s="2019"/>
      <c r="X36" s="2019"/>
      <c r="Y36" s="2019"/>
      <c r="Z36" s="2019"/>
      <c r="AA36" s="2019"/>
      <c r="AB36" s="2019"/>
      <c r="AC36" s="2019"/>
      <c r="AD36" s="2019"/>
      <c r="AE36" s="2019"/>
      <c r="AF36" s="2019"/>
      <c r="AG36" s="2019"/>
      <c r="AH36" s="2019"/>
      <c r="AI36" s="2019"/>
      <c r="AJ36" s="2019"/>
      <c r="AK36" s="2019" t="s">
        <v>269</v>
      </c>
    </row>
    <row r="37" spans="1:42" ht="14.25" customHeight="1">
      <c r="Q37" s="304"/>
      <c r="R37" s="304"/>
      <c r="S37" s="2159" t="s">
        <v>73</v>
      </c>
      <c r="T37" s="2107" t="s">
        <v>398</v>
      </c>
      <c r="U37" s="218"/>
      <c r="V37" s="2160" t="s">
        <v>399</v>
      </c>
      <c r="W37" s="2161"/>
      <c r="X37" s="2161"/>
      <c r="Y37" s="2161"/>
      <c r="Z37" s="2161"/>
      <c r="AA37" s="2162"/>
      <c r="AB37" s="2163" t="s">
        <v>400</v>
      </c>
      <c r="AC37" s="2160" t="s">
        <v>399</v>
      </c>
      <c r="AD37" s="2161"/>
      <c r="AE37" s="2161"/>
      <c r="AF37" s="2161"/>
      <c r="AG37" s="2161"/>
      <c r="AH37" s="2162"/>
      <c r="AI37" s="2163" t="s">
        <v>401</v>
      </c>
      <c r="AJ37" s="2166" t="s">
        <v>402</v>
      </c>
      <c r="AK37" s="2019"/>
    </row>
    <row r="38" spans="1:42" ht="33.75" customHeight="1">
      <c r="Q38" s="304"/>
      <c r="R38" s="304"/>
      <c r="S38" s="2159"/>
      <c r="T38" s="2107"/>
      <c r="U38" s="940"/>
      <c r="V38" s="1367" t="s">
        <v>459</v>
      </c>
      <c r="W38" s="2001" t="s">
        <v>405</v>
      </c>
      <c r="X38" s="2000"/>
      <c r="Y38" s="2001" t="s">
        <v>406</v>
      </c>
      <c r="Z38" s="2006"/>
      <c r="AA38" s="2000"/>
      <c r="AB38" s="2164"/>
      <c r="AC38" s="1367" t="s">
        <v>459</v>
      </c>
      <c r="AD38" s="2001" t="s">
        <v>405</v>
      </c>
      <c r="AE38" s="2000"/>
      <c r="AF38" s="2001" t="s">
        <v>406</v>
      </c>
      <c r="AG38" s="2006"/>
      <c r="AH38" s="2000"/>
      <c r="AI38" s="2164"/>
      <c r="AJ38" s="2167"/>
      <c r="AK38" s="2019"/>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9"/>
      <c r="T39" s="2107"/>
      <c r="U39" s="219"/>
      <c r="V39" s="1367" t="s">
        <v>462</v>
      </c>
      <c r="W39" s="1130" t="s">
        <v>463</v>
      </c>
      <c r="X39" s="1130" t="s">
        <v>464</v>
      </c>
      <c r="Y39" s="1370" t="s">
        <v>416</v>
      </c>
      <c r="Z39" s="2112" t="s">
        <v>417</v>
      </c>
      <c r="AA39" s="2126"/>
      <c r="AB39" s="2165"/>
      <c r="AC39" s="1367" t="s">
        <v>462</v>
      </c>
      <c r="AD39" s="1130" t="s">
        <v>463</v>
      </c>
      <c r="AE39" s="1130" t="s">
        <v>464</v>
      </c>
      <c r="AF39" s="1370" t="s">
        <v>416</v>
      </c>
      <c r="AG39" s="2112" t="s">
        <v>417</v>
      </c>
      <c r="AH39" s="2126"/>
      <c r="AI39" s="2165"/>
      <c r="AJ39" s="2168"/>
      <c r="AK39" s="2019"/>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66">
        <f ca="1">OFFSET(V40,0,-1)+1</f>
        <v>3</v>
      </c>
      <c r="W40" s="1366">
        <f ca="1">OFFSET(W40,0,-1)+1</f>
        <v>4</v>
      </c>
      <c r="X40" s="1366">
        <f ca="1">OFFSET(X40,0,-1)+1</f>
        <v>5</v>
      </c>
      <c r="Y40" s="1366">
        <f ca="1">OFFSET(Y40,0,-1)+1</f>
        <v>6</v>
      </c>
      <c r="Z40" s="2157">
        <f ca="1">OFFSET(Z40,0,-1)+1</f>
        <v>7</v>
      </c>
      <c r="AA40" s="2157"/>
      <c r="AB40" s="1366">
        <f ca="1">OFFSET(AB40,0,-2)+1</f>
        <v>8</v>
      </c>
      <c r="AC40" s="1366">
        <f ca="1">OFFSET(AC40,0,-1)+1</f>
        <v>9</v>
      </c>
      <c r="AD40" s="1366">
        <f ca="1">OFFSET(AD40,0,-1)+1</f>
        <v>10</v>
      </c>
      <c r="AE40" s="1366">
        <f ca="1">OFFSET(AE40,0,-1)+1</f>
        <v>11</v>
      </c>
      <c r="AF40" s="1366">
        <f ca="1">OFFSET(AF40,0,-1)+1</f>
        <v>12</v>
      </c>
      <c r="AG40" s="2157">
        <f ca="1">OFFSET(AG40,0,-1)+1</f>
        <v>13</v>
      </c>
      <c r="AH40" s="2157"/>
      <c r="AI40" s="1366">
        <f ca="1">OFFSET(AI40,0,-2)+1</f>
        <v>14</v>
      </c>
      <c r="AJ40" s="1156">
        <f ca="1">OFFSET(AJ40,0,-1)</f>
        <v>14</v>
      </c>
      <c r="AK40" s="1366">
        <f ca="1">OFFSET(AK40,0,-1)+1</f>
        <v>15</v>
      </c>
      <c r="AL40" s="436"/>
      <c r="AM40" s="436"/>
      <c r="AN40" s="436"/>
      <c r="AO40" s="436"/>
      <c r="AP40" s="436"/>
    </row>
    <row r="41" spans="1:42" ht="23.25" customHeight="1">
      <c r="A41" s="1281" t="s">
        <v>204</v>
      </c>
      <c r="B41" s="1281"/>
      <c r="C41" s="1281"/>
      <c r="D41" s="1281"/>
      <c r="E41" s="2146">
        <v>1</v>
      </c>
      <c r="F41" s="1281"/>
      <c r="G41" s="1281"/>
      <c r="H41" s="1281"/>
      <c r="I41" s="1281"/>
      <c r="J41" s="1281"/>
      <c r="K41" s="1281"/>
      <c r="L41" s="1282"/>
      <c r="M41" s="1283"/>
      <c r="N41" s="1283"/>
      <c r="O41" s="1283"/>
      <c r="P41" s="285"/>
      <c r="Q41" s="284"/>
      <c r="R41" s="279"/>
      <c r="S41" s="1372">
        <f>INDEX(PT_DIFFERENTIATION_NUM_NTAR,MATCH(A41,PT_DIFFERENTIATION_NTAR_ID,0))</f>
        <v>0</v>
      </c>
      <c r="T41" s="215" t="s">
        <v>105</v>
      </c>
      <c r="U41" s="217"/>
      <c r="V41" s="2140"/>
      <c r="W41" s="2141"/>
      <c r="X41" s="2141"/>
      <c r="Y41" s="2141"/>
      <c r="Z41" s="2141"/>
      <c r="AA41" s="2141"/>
      <c r="AB41" s="2142"/>
      <c r="AC41" s="2140" t="str">
        <f>INDEX(PT_DIFFERENTIATION_NTAR,MATCH(A41,PT_DIFFERENTIATION_NTAR_ID,0))</f>
        <v/>
      </c>
      <c r="AD41" s="2141"/>
      <c r="AE41" s="2141"/>
      <c r="AF41" s="2141"/>
      <c r="AG41" s="2141"/>
      <c r="AH41" s="2141"/>
      <c r="AI41" s="2141"/>
      <c r="AJ41" s="2142"/>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204</v>
      </c>
      <c r="B42" s="1281" t="s">
        <v>205</v>
      </c>
      <c r="C42" s="1281"/>
      <c r="D42" s="1281"/>
      <c r="E42" s="2147"/>
      <c r="F42" s="2146">
        <v>1</v>
      </c>
      <c r="G42" s="1281"/>
      <c r="H42" s="1281"/>
      <c r="I42" s="1281"/>
      <c r="J42" s="1281"/>
      <c r="K42" s="1281"/>
      <c r="L42" s="1282"/>
      <c r="M42" s="1283"/>
      <c r="N42" s="1283"/>
      <c r="O42" s="1283"/>
      <c r="P42" s="1368"/>
      <c r="Q42" s="276"/>
      <c r="R42" s="277"/>
      <c r="S42" s="1372" t="str">
        <f>INDEX(PT_DIFFERENTIATION_NUM_TER,MATCH(B42,PT_DIFFERENTIATION_TER_ID,0))</f>
        <v>.</v>
      </c>
      <c r="T42" s="227" t="s">
        <v>367</v>
      </c>
      <c r="U42" s="217"/>
      <c r="V42" s="2140"/>
      <c r="W42" s="2141"/>
      <c r="X42" s="2141"/>
      <c r="Y42" s="2141"/>
      <c r="Z42" s="2141"/>
      <c r="AA42" s="2141"/>
      <c r="AB42" s="2142"/>
      <c r="AC42" s="2140" t="str">
        <f>INDEX(PT_DIFFERENTIATION_TER,MATCH(B42,PT_DIFFERENTIATION_TER_ID,0))</f>
        <v/>
      </c>
      <c r="AD42" s="2141"/>
      <c r="AE42" s="2141"/>
      <c r="AF42" s="2141"/>
      <c r="AG42" s="2141"/>
      <c r="AH42" s="2141"/>
      <c r="AI42" s="2141"/>
      <c r="AJ42" s="2142"/>
      <c r="AK42" s="1179" t="s">
        <v>368</v>
      </c>
      <c r="AM42" s="425"/>
      <c r="AN42" s="425" t="str">
        <f t="shared" si="1"/>
        <v>Территория действия тарифа</v>
      </c>
      <c r="AO42" s="425"/>
      <c r="AP42" s="425"/>
    </row>
    <row r="43" spans="1:42" ht="23.25" customHeight="1">
      <c r="A43" s="1281" t="s">
        <v>204</v>
      </c>
      <c r="B43" s="1281" t="s">
        <v>205</v>
      </c>
      <c r="C43" s="1281" t="s">
        <v>206</v>
      </c>
      <c r="D43" s="1281"/>
      <c r="E43" s="2147"/>
      <c r="F43" s="2147"/>
      <c r="G43" s="2146">
        <v>1</v>
      </c>
      <c r="H43" s="1281"/>
      <c r="I43" s="1281"/>
      <c r="J43" s="1281"/>
      <c r="K43" s="1281"/>
      <c r="L43" s="1282"/>
      <c r="M43" s="1283"/>
      <c r="N43" s="1283"/>
      <c r="O43" s="1283"/>
      <c r="P43" s="278"/>
      <c r="Q43" s="276"/>
      <c r="R43" s="277"/>
      <c r="S43" s="1372" t="str">
        <f>INDEX(PT_DIFFERENTIATION_NUM_CS,MATCH(C43,PT_DIFFERENTIATION_CS_ID,0))</f>
        <v>..</v>
      </c>
      <c r="T43" s="228" t="s">
        <v>451</v>
      </c>
      <c r="U43" s="217"/>
      <c r="V43" s="2140"/>
      <c r="W43" s="2141"/>
      <c r="X43" s="2141"/>
      <c r="Y43" s="2141"/>
      <c r="Z43" s="2141"/>
      <c r="AA43" s="2141"/>
      <c r="AB43" s="2142"/>
      <c r="AC43" s="2140" t="str">
        <f>INDEX(PT_DIFFERENTIATION_CS,MATCH(C43,PT_DIFFERENTIATION_CS_ID,0))</f>
        <v/>
      </c>
      <c r="AD43" s="2141"/>
      <c r="AE43" s="2141"/>
      <c r="AF43" s="2141"/>
      <c r="AG43" s="2141"/>
      <c r="AH43" s="2141"/>
      <c r="AI43" s="2141"/>
      <c r="AJ43" s="2142"/>
      <c r="AK43" s="1179" t="s">
        <v>452</v>
      </c>
      <c r="AM43" s="425"/>
      <c r="AN43" s="425" t="str">
        <f t="shared" si="1"/>
        <v>Наименование централизованной системы холодного водоснабжения</v>
      </c>
      <c r="AO43" s="425"/>
      <c r="AP43" s="425"/>
    </row>
    <row r="44" spans="1:42" ht="23.25" customHeight="1">
      <c r="A44" s="1281" t="s">
        <v>204</v>
      </c>
      <c r="B44" s="1281" t="s">
        <v>205</v>
      </c>
      <c r="C44" s="1281" t="s">
        <v>206</v>
      </c>
      <c r="D44" s="1281" t="s">
        <v>467</v>
      </c>
      <c r="E44" s="2147"/>
      <c r="F44" s="2147"/>
      <c r="G44" s="2147"/>
      <c r="H44" s="2147"/>
      <c r="I44" s="2148" t="str">
        <f>S43&amp;".1"</f>
        <v>...1</v>
      </c>
      <c r="J44" s="1281"/>
      <c r="K44" s="1281"/>
      <c r="L44" s="1282"/>
      <c r="P44" s="2150">
        <v>1</v>
      </c>
      <c r="Q44" s="1365"/>
      <c r="R44" s="280"/>
      <c r="S44" s="1372"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204</v>
      </c>
      <c r="B45" s="1281" t="s">
        <v>205</v>
      </c>
      <c r="C45" s="1281" t="s">
        <v>206</v>
      </c>
      <c r="D45" s="1281" t="s">
        <v>467</v>
      </c>
      <c r="E45" s="2147"/>
      <c r="F45" s="2147"/>
      <c r="G45" s="2147"/>
      <c r="H45" s="2147"/>
      <c r="I45" s="2149"/>
      <c r="J45" s="2148" t="str">
        <f>I44&amp;".1"</f>
        <v>...1.1</v>
      </c>
      <c r="K45" s="1281"/>
      <c r="L45" s="1282" t="s">
        <v>376</v>
      </c>
      <c r="P45" s="2150"/>
      <c r="Q45" s="2150">
        <v>1</v>
      </c>
      <c r="R45" s="281"/>
      <c r="S45" s="1372" t="str">
        <f>$J45</f>
        <v>...1.1</v>
      </c>
      <c r="T45" s="203" t="s">
        <v>377</v>
      </c>
      <c r="U45" s="217"/>
      <c r="V45" s="2134"/>
      <c r="W45" s="2135"/>
      <c r="X45" s="2135"/>
      <c r="Y45" s="2135"/>
      <c r="Z45" s="2135"/>
      <c r="AA45" s="2135"/>
      <c r="AB45" s="2136"/>
      <c r="AC45" s="2134"/>
      <c r="AD45" s="2135"/>
      <c r="AE45" s="2135"/>
      <c r="AF45" s="2135"/>
      <c r="AG45" s="2135"/>
      <c r="AH45" s="2135"/>
      <c r="AI45" s="2135"/>
      <c r="AJ45" s="2136"/>
      <c r="AK45" s="1228" t="s">
        <v>455</v>
      </c>
      <c r="AM45" s="425"/>
      <c r="AN45" s="425" t="str">
        <f t="shared" si="1"/>
        <v>Группа потребителей</v>
      </c>
      <c r="AO45" s="425"/>
      <c r="AP45" s="425"/>
    </row>
    <row r="46" spans="1:42" ht="23.25" customHeight="1">
      <c r="A46" s="1281" t="s">
        <v>204</v>
      </c>
      <c r="B46" s="1281" t="s">
        <v>205</v>
      </c>
      <c r="C46" s="1281" t="s">
        <v>206</v>
      </c>
      <c r="D46" s="1281" t="s">
        <v>467</v>
      </c>
      <c r="E46" s="2147"/>
      <c r="F46" s="2147"/>
      <c r="G46" s="2147"/>
      <c r="H46" s="2147"/>
      <c r="I46" s="2149"/>
      <c r="J46" s="2149"/>
      <c r="K46" s="2148" t="str">
        <f>J45&amp;".1"</f>
        <v>...1.1.1</v>
      </c>
      <c r="L46" s="1282"/>
      <c r="P46" s="2150"/>
      <c r="Q46" s="2150"/>
      <c r="R46" s="281">
        <v>1</v>
      </c>
      <c r="S46" s="1372" t="str">
        <f>$K46</f>
        <v>...1.1.1</v>
      </c>
      <c r="T46" s="1354"/>
      <c r="U46" s="217"/>
      <c r="V46" s="668"/>
      <c r="W46" s="668"/>
      <c r="X46" s="1178"/>
      <c r="Y46" s="2151"/>
      <c r="Z46" s="2029" t="s">
        <v>50</v>
      </c>
      <c r="AA46" s="2151"/>
      <c r="AB46" s="2029" t="s">
        <v>50</v>
      </c>
      <c r="AC46" s="668"/>
      <c r="AD46" s="668"/>
      <c r="AE46" s="1178"/>
      <c r="AF46" s="2151"/>
      <c r="AG46" s="2029" t="s">
        <v>50</v>
      </c>
      <c r="AH46" s="2153"/>
      <c r="AI46" s="2029" t="s">
        <v>50</v>
      </c>
      <c r="AJ46" s="1355"/>
      <c r="AK46"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204</v>
      </c>
      <c r="B47" s="1281" t="s">
        <v>205</v>
      </c>
      <c r="C47" s="1281" t="s">
        <v>206</v>
      </c>
      <c r="D47" s="1281" t="s">
        <v>467</v>
      </c>
      <c r="E47" s="2147"/>
      <c r="F47" s="2147"/>
      <c r="G47" s="2147"/>
      <c r="H47" s="2147"/>
      <c r="I47" s="2149"/>
      <c r="J47" s="2149"/>
      <c r="K47" s="2148"/>
      <c r="L47" s="1282"/>
      <c r="P47" s="2150"/>
      <c r="Q47" s="2150"/>
      <c r="R47" s="281"/>
      <c r="S47" s="1371"/>
      <c r="T47" s="217"/>
      <c r="U47" s="217"/>
      <c r="V47" s="249"/>
      <c r="W47" s="249"/>
      <c r="X47" s="253" t="str">
        <f>Y46&amp;"-"&amp;AA46</f>
        <v>-</v>
      </c>
      <c r="Y47" s="2152"/>
      <c r="Z47" s="2029"/>
      <c r="AA47" s="2152"/>
      <c r="AB47" s="2029"/>
      <c r="AC47" s="249"/>
      <c r="AD47" s="249"/>
      <c r="AE47" s="253" t="str">
        <f>AF46&amp;"-"&amp;AH46</f>
        <v>-</v>
      </c>
      <c r="AF47" s="2152"/>
      <c r="AG47" s="2029"/>
      <c r="AH47" s="2154"/>
      <c r="AI47" s="2029"/>
      <c r="AJ47" s="1356"/>
      <c r="AK47" s="2212"/>
      <c r="AM47" s="425"/>
      <c r="AN47" s="425" t="str">
        <f t="shared" si="1"/>
        <v/>
      </c>
      <c r="AO47" s="425"/>
      <c r="AP47" s="425"/>
    </row>
    <row r="48" spans="1:42" ht="21" customHeight="1">
      <c r="A48" s="1281" t="s">
        <v>204</v>
      </c>
      <c r="B48" s="1281" t="s">
        <v>205</v>
      </c>
      <c r="C48" s="1281" t="s">
        <v>206</v>
      </c>
      <c r="D48" s="1281" t="s">
        <v>467</v>
      </c>
      <c r="E48" s="2147"/>
      <c r="F48" s="2147"/>
      <c r="G48" s="2147"/>
      <c r="H48" s="2147"/>
      <c r="I48" s="2149"/>
      <c r="J48" s="2148"/>
      <c r="K48" s="1281"/>
      <c r="L48" s="1282"/>
      <c r="P48" s="2150"/>
      <c r="Q48" s="2150"/>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204</v>
      </c>
      <c r="B49" s="1281" t="s">
        <v>205</v>
      </c>
      <c r="C49" s="1281" t="s">
        <v>206</v>
      </c>
      <c r="D49" s="1281" t="s">
        <v>467</v>
      </c>
      <c r="E49" s="2147"/>
      <c r="F49" s="2147"/>
      <c r="G49" s="2147"/>
      <c r="H49" s="2147"/>
      <c r="I49" s="2148"/>
      <c r="J49" s="1281"/>
      <c r="K49" s="1281"/>
      <c r="L49" s="1282"/>
      <c r="P49" s="2150"/>
      <c r="Q49" s="1365"/>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204</v>
      </c>
      <c r="B50" s="1281" t="s">
        <v>205</v>
      </c>
      <c r="C50" s="1281" t="s">
        <v>206</v>
      </c>
      <c r="D50" s="1281" t="s">
        <v>467</v>
      </c>
      <c r="E50" s="2147"/>
      <c r="F50" s="2147"/>
      <c r="G50" s="2147"/>
      <c r="H50" s="2146"/>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204</v>
      </c>
      <c r="B51" s="1262" t="s">
        <v>205</v>
      </c>
      <c r="C51" s="1234"/>
      <c r="D51" s="1234"/>
      <c r="E51" s="2147"/>
      <c r="F51" s="2146"/>
      <c r="G51" s="1234"/>
      <c r="H51" s="1234"/>
      <c r="I51" s="1234"/>
      <c r="J51" s="1234"/>
      <c r="K51" s="1234"/>
      <c r="L51" s="137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204</v>
      </c>
      <c r="B52" s="1262"/>
      <c r="C52" s="1262"/>
      <c r="D52" s="1262"/>
      <c r="E52" s="2146"/>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7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5"/>
      <c r="U55" s="2145"/>
      <c r="V55" s="2145"/>
      <c r="W55" s="2145"/>
      <c r="X55" s="2145"/>
      <c r="Y55" s="2145"/>
      <c r="Z55" s="2145"/>
      <c r="AA55" s="2145"/>
      <c r="AB55" s="2145"/>
      <c r="AC55" s="2145"/>
      <c r="AD55" s="2145"/>
      <c r="AE55" s="2145"/>
      <c r="AF55" s="2145"/>
      <c r="AG55" s="2145"/>
      <c r="AH55" s="2145"/>
      <c r="AI55" s="2145"/>
      <c r="AJ55" s="2145"/>
      <c r="AK55" s="2145"/>
    </row>
    <row r="56" spans="1:42" ht="14.25" customHeight="1">
      <c r="O56" s="461"/>
    </row>
    <row r="57" spans="1:42" ht="14.25" customHeight="1">
      <c r="O57" s="461"/>
      <c r="S57" s="1166"/>
      <c r="T57" s="2145"/>
      <c r="U57" s="2145"/>
      <c r="V57" s="2145"/>
      <c r="W57" s="2145"/>
      <c r="X57" s="2145"/>
      <c r="Y57" s="2145"/>
      <c r="Z57" s="2145"/>
      <c r="AA57" s="2145"/>
      <c r="AB57" s="2145"/>
      <c r="AC57" s="2145"/>
      <c r="AD57" s="2145"/>
      <c r="AE57" s="2145"/>
      <c r="AF57" s="2145"/>
      <c r="AG57" s="2145"/>
      <c r="AH57" s="2145"/>
      <c r="AI57" s="2145"/>
      <c r="AJ57" s="2145"/>
      <c r="AK57" s="2145"/>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8" hidden="1" customWidth="1"/>
    <col min="13" max="14" width="12.28515625" style="1884" hidden="1" customWidth="1"/>
    <col min="15" max="15" width="23.42578125" style="1884" hidden="1" customWidth="1"/>
    <col min="16" max="16" width="3.7109375" style="1899"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6">
        <v>1</v>
      </c>
      <c r="F2" s="1281"/>
      <c r="G2" s="1281"/>
      <c r="H2" s="1281"/>
      <c r="I2" s="1281"/>
      <c r="J2" s="1281"/>
      <c r="K2" s="1281"/>
      <c r="L2" s="1282"/>
      <c r="M2" s="1283"/>
      <c r="N2" s="1283"/>
      <c r="O2" s="1283"/>
      <c r="P2" s="285"/>
      <c r="Q2" s="284"/>
      <c r="R2" s="279"/>
      <c r="S2" s="1372" t="e">
        <f>INDEX(PT_DIFFERENTIATION_NUM_NTAR,MATCH(A2,PT_DIFFERENTIATION_NTAR_ID,0))</f>
        <v>#N/A</v>
      </c>
      <c r="T2" s="215" t="s">
        <v>105</v>
      </c>
      <c r="U2" s="217"/>
      <c r="V2" s="2140"/>
      <c r="W2" s="2141"/>
      <c r="X2" s="2141"/>
      <c r="Y2" s="2141"/>
      <c r="Z2" s="2141"/>
      <c r="AA2" s="2141"/>
      <c r="AB2" s="2142"/>
      <c r="AC2" s="2140" t="e">
        <f>INDEX(PT_DIFFERENTIATION_NTAR,MATCH(A2,PT_DIFFERENTIATION_NTAR_ID,0))</f>
        <v>#N/A</v>
      </c>
      <c r="AD2" s="2141"/>
      <c r="AE2" s="2141"/>
      <c r="AF2" s="2141"/>
      <c r="AG2" s="2141"/>
      <c r="AH2" s="2141"/>
      <c r="AI2" s="2141"/>
      <c r="AJ2" s="2142"/>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7"/>
      <c r="F3" s="2146">
        <v>1</v>
      </c>
      <c r="G3" s="1281"/>
      <c r="H3" s="1281"/>
      <c r="I3" s="1281"/>
      <c r="J3" s="1281"/>
      <c r="K3" s="1281"/>
      <c r="L3" s="1282"/>
      <c r="M3" s="1283"/>
      <c r="N3" s="1283"/>
      <c r="O3" s="1283"/>
      <c r="P3" s="1368"/>
      <c r="Q3" s="276"/>
      <c r="R3" s="277"/>
      <c r="S3" s="1372" t="e">
        <f>INDEX(PT_DIFFERENTIATION_NUM_TER,MATCH(B3,PT_DIFFERENTIATION_TER_ID,0))</f>
        <v>#N/A</v>
      </c>
      <c r="T3" s="227" t="s">
        <v>367</v>
      </c>
      <c r="U3" s="217"/>
      <c r="V3" s="2140"/>
      <c r="W3" s="2141"/>
      <c r="X3" s="2141"/>
      <c r="Y3" s="2141"/>
      <c r="Z3" s="2141"/>
      <c r="AA3" s="2141"/>
      <c r="AB3" s="2142"/>
      <c r="AC3" s="2140" t="e">
        <f>INDEX(PT_DIFFERENTIATION_TER,MATCH(B3,PT_DIFFERENTIATION_TER_ID,0))</f>
        <v>#N/A</v>
      </c>
      <c r="AD3" s="2141"/>
      <c r="AE3" s="2141"/>
      <c r="AF3" s="2141"/>
      <c r="AG3" s="2141"/>
      <c r="AH3" s="2141"/>
      <c r="AI3" s="2141"/>
      <c r="AJ3" s="2142"/>
      <c r="AK3" s="1179" t="s">
        <v>368</v>
      </c>
      <c r="AM3" s="425"/>
      <c r="AN3" s="425" t="str">
        <f t="shared" si="0"/>
        <v>Территория действия тарифа</v>
      </c>
      <c r="AO3" s="425"/>
      <c r="AP3" s="425"/>
    </row>
    <row r="4" spans="1:42" ht="23.25" hidden="1" customHeight="1">
      <c r="A4" s="1281"/>
      <c r="B4" s="1281"/>
      <c r="C4" s="1281"/>
      <c r="D4" s="1281"/>
      <c r="E4" s="2147"/>
      <c r="F4" s="2147"/>
      <c r="G4" s="2146">
        <v>1</v>
      </c>
      <c r="H4" s="1281"/>
      <c r="I4" s="1281"/>
      <c r="J4" s="1281"/>
      <c r="K4" s="1281"/>
      <c r="L4" s="1282"/>
      <c r="M4" s="1283"/>
      <c r="N4" s="1283"/>
      <c r="O4" s="1283"/>
      <c r="P4" s="278"/>
      <c r="Q4" s="276"/>
      <c r="R4" s="277"/>
      <c r="S4" s="1372" t="e">
        <f>INDEX(PT_DIFFERENTIATION_NUM_CS,MATCH(C4,PT_DIFFERENTIATION_CS_ID,0))</f>
        <v>#N/A</v>
      </c>
      <c r="T4" s="228" t="s">
        <v>451</v>
      </c>
      <c r="U4" s="217"/>
      <c r="V4" s="2140"/>
      <c r="W4" s="2141"/>
      <c r="X4" s="2141"/>
      <c r="Y4" s="2141"/>
      <c r="Z4" s="2141"/>
      <c r="AA4" s="2141"/>
      <c r="AB4" s="2142"/>
      <c r="AC4" s="2140" t="e">
        <f>INDEX(PT_DIFFERENTIATION_CS,MATCH(C4,PT_DIFFERENTIATION_CS_ID,0))</f>
        <v>#N/A</v>
      </c>
      <c r="AD4" s="2141"/>
      <c r="AE4" s="2141"/>
      <c r="AF4" s="2141"/>
      <c r="AG4" s="2141"/>
      <c r="AH4" s="2141"/>
      <c r="AI4" s="2141"/>
      <c r="AJ4" s="2142"/>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7"/>
      <c r="F5" s="2147"/>
      <c r="G5" s="2147"/>
      <c r="H5" s="2147"/>
      <c r="I5" s="2148" t="e">
        <f>S4&amp;".1"</f>
        <v>#N/A</v>
      </c>
      <c r="J5" s="1281"/>
      <c r="K5" s="1281"/>
      <c r="L5" s="1282"/>
      <c r="P5" s="2150">
        <v>1</v>
      </c>
      <c r="Q5" s="1365"/>
      <c r="R5" s="280"/>
      <c r="S5" s="1372"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7"/>
      <c r="F6" s="2147"/>
      <c r="G6" s="2147"/>
      <c r="H6" s="2147"/>
      <c r="I6" s="2149"/>
      <c r="J6" s="2148" t="e">
        <f>I5&amp;".1"</f>
        <v>#N/A</v>
      </c>
      <c r="K6" s="1281"/>
      <c r="L6" s="1282" t="s">
        <v>376</v>
      </c>
      <c r="P6" s="2150"/>
      <c r="Q6" s="2150">
        <v>1</v>
      </c>
      <c r="R6" s="281"/>
      <c r="S6" s="1372" t="e">
        <f>$J6</f>
        <v>#N/A</v>
      </c>
      <c r="T6" s="203" t="s">
        <v>377</v>
      </c>
      <c r="U6" s="217"/>
      <c r="V6" s="2134"/>
      <c r="W6" s="2135"/>
      <c r="X6" s="2135"/>
      <c r="Y6" s="2135"/>
      <c r="Z6" s="2135"/>
      <c r="AA6" s="2135"/>
      <c r="AB6" s="2136"/>
      <c r="AC6" s="2134"/>
      <c r="AD6" s="2135"/>
      <c r="AE6" s="2135"/>
      <c r="AF6" s="2135"/>
      <c r="AG6" s="2135"/>
      <c r="AH6" s="2135"/>
      <c r="AI6" s="2135"/>
      <c r="AJ6" s="2136"/>
      <c r="AK6" s="1228" t="s">
        <v>455</v>
      </c>
      <c r="AM6" s="425"/>
      <c r="AN6" s="425" t="str">
        <f t="shared" si="0"/>
        <v>Группа потребителей</v>
      </c>
      <c r="AO6" s="425"/>
      <c r="AP6" s="425"/>
    </row>
    <row r="7" spans="1:42" ht="23.25" hidden="1" customHeight="1">
      <c r="A7" s="1281"/>
      <c r="B7" s="1281"/>
      <c r="C7" s="1281"/>
      <c r="D7" s="1281"/>
      <c r="E7" s="2147"/>
      <c r="F7" s="2147"/>
      <c r="G7" s="2147"/>
      <c r="H7" s="2147"/>
      <c r="I7" s="2149"/>
      <c r="J7" s="2149"/>
      <c r="K7" s="2148" t="e">
        <f>J6&amp;".1"</f>
        <v>#N/A</v>
      </c>
      <c r="L7" s="1282"/>
      <c r="P7" s="2150"/>
      <c r="Q7" s="2150"/>
      <c r="R7" s="281">
        <v>1</v>
      </c>
      <c r="S7" s="1372" t="e">
        <f>$K7</f>
        <v>#N/A</v>
      </c>
      <c r="T7" s="1354"/>
      <c r="U7" s="217"/>
      <c r="V7" s="668"/>
      <c r="W7" s="668"/>
      <c r="X7" s="1178"/>
      <c r="Y7" s="2151"/>
      <c r="Z7" s="2029" t="s">
        <v>50</v>
      </c>
      <c r="AA7" s="2151"/>
      <c r="AB7" s="2029" t="s">
        <v>50</v>
      </c>
      <c r="AC7" s="668"/>
      <c r="AD7" s="668"/>
      <c r="AE7" s="1178"/>
      <c r="AF7" s="2151"/>
      <c r="AG7" s="2029" t="s">
        <v>50</v>
      </c>
      <c r="AH7" s="2153"/>
      <c r="AI7" s="2029" t="s">
        <v>50</v>
      </c>
      <c r="AJ7" s="1355"/>
      <c r="AK7"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7"/>
      <c r="F8" s="2147"/>
      <c r="G8" s="2147"/>
      <c r="H8" s="2147"/>
      <c r="I8" s="2149"/>
      <c r="J8" s="2149"/>
      <c r="K8" s="2148"/>
      <c r="L8" s="1282"/>
      <c r="P8" s="2150"/>
      <c r="Q8" s="2150"/>
      <c r="R8" s="281"/>
      <c r="S8" s="1371"/>
      <c r="T8" s="217"/>
      <c r="U8" s="217"/>
      <c r="V8" s="249"/>
      <c r="W8" s="249"/>
      <c r="X8" s="253" t="str">
        <f>Y7&amp;"-"&amp;AA7</f>
        <v>-</v>
      </c>
      <c r="Y8" s="2152"/>
      <c r="Z8" s="2029"/>
      <c r="AA8" s="2152"/>
      <c r="AB8" s="2029"/>
      <c r="AC8" s="249"/>
      <c r="AD8" s="249"/>
      <c r="AE8" s="253" t="str">
        <f>AF7&amp;"-"&amp;AH7</f>
        <v>-</v>
      </c>
      <c r="AF8" s="2152"/>
      <c r="AG8" s="2029"/>
      <c r="AH8" s="2154"/>
      <c r="AI8" s="2029"/>
      <c r="AJ8" s="1356"/>
      <c r="AK8" s="2212"/>
      <c r="AM8" s="425"/>
      <c r="AN8" s="425" t="str">
        <f t="shared" si="0"/>
        <v/>
      </c>
      <c r="AO8" s="425"/>
      <c r="AP8" s="425"/>
    </row>
    <row r="9" spans="1:42" ht="21" hidden="1" customHeight="1">
      <c r="A9" s="1281"/>
      <c r="B9" s="1281"/>
      <c r="C9" s="1281"/>
      <c r="D9" s="1281"/>
      <c r="E9" s="2147"/>
      <c r="F9" s="2147"/>
      <c r="G9" s="2147"/>
      <c r="H9" s="2147"/>
      <c r="I9" s="2149"/>
      <c r="J9" s="2148"/>
      <c r="K9" s="1281"/>
      <c r="L9" s="1282"/>
      <c r="P9" s="2150"/>
      <c r="Q9" s="2150"/>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7"/>
      <c r="F10" s="2147"/>
      <c r="G10" s="2147"/>
      <c r="H10" s="2147"/>
      <c r="I10" s="2148"/>
      <c r="J10" s="1281"/>
      <c r="K10" s="1281"/>
      <c r="L10" s="1282"/>
      <c r="P10" s="2150"/>
      <c r="Q10" s="1365"/>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7"/>
      <c r="F11" s="2147"/>
      <c r="G11" s="2147"/>
      <c r="H11" s="2146"/>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7"/>
      <c r="F12" s="2146"/>
      <c r="G12" s="1234"/>
      <c r="H12" s="1234"/>
      <c r="I12" s="1234"/>
      <c r="J12" s="1234"/>
      <c r="K12" s="1234"/>
      <c r="L12" s="137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6"/>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4"/>
      <c r="AG15" s="2143" t="s">
        <v>50</v>
      </c>
      <c r="AH15" s="2144"/>
      <c r="AI15" s="2143" t="s">
        <v>50</v>
      </c>
    </row>
    <row r="16" spans="1:42" ht="14.25" hidden="1" customHeight="1">
      <c r="AC16" s="1278"/>
      <c r="AD16" s="1278"/>
      <c r="AE16" s="253" t="str">
        <f>AF15&amp;"-"&amp;AH15</f>
        <v>-</v>
      </c>
      <c r="AF16" s="2143"/>
      <c r="AG16" s="2143"/>
      <c r="AH16" s="2143"/>
      <c r="AI16" s="2143"/>
    </row>
    <row r="17" spans="1:42" ht="14.25" hidden="1" customHeight="1">
      <c r="AI17" s="252"/>
    </row>
    <row r="18" spans="1:42" s="1882" customFormat="1" ht="22.5" hidden="1" customHeight="1">
      <c r="L18" s="1362"/>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62"/>
      <c r="M19" s="1280"/>
      <c r="N19" s="1280"/>
      <c r="O19" s="1280"/>
      <c r="P19" s="1280"/>
      <c r="Q19" s="1289"/>
      <c r="R19" s="1289"/>
      <c r="S19" s="648"/>
      <c r="AB19" s="1284"/>
      <c r="AI19" s="1284"/>
      <c r="AL19" s="436"/>
      <c r="AM19" s="436"/>
      <c r="AN19" s="436"/>
      <c r="AO19" s="436"/>
      <c r="AP19" s="436"/>
    </row>
    <row r="20" spans="1:42" s="1882" customFormat="1" ht="12" hidden="1" customHeight="1">
      <c r="L20" s="1362"/>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2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7"/>
      <c r="U24" s="2127"/>
      <c r="V24" s="2127"/>
      <c r="W24" s="2127"/>
      <c r="X24" s="2127"/>
      <c r="Y24" s="2127"/>
      <c r="Z24" s="2127"/>
      <c r="AA24" s="2127"/>
      <c r="AB24" s="2127"/>
      <c r="AC24" s="2127"/>
      <c r="AD24" s="2127"/>
      <c r="AE24" s="2127"/>
      <c r="AF24" s="2127"/>
      <c r="AG24" s="2127"/>
      <c r="AH24" s="2127"/>
      <c r="AI24" s="1154"/>
    </row>
    <row r="25" spans="1:42" ht="14.25" customHeight="1">
      <c r="Q25" s="304"/>
      <c r="R25" s="304"/>
      <c r="S25" s="2098" t="str">
        <f>IF(org=0,"Не определено",org)</f>
        <v>ООО "Горводоканал"</v>
      </c>
      <c r="T25" s="2098"/>
      <c r="U25" s="2098"/>
      <c r="V25" s="2098"/>
      <c r="W25" s="2098"/>
      <c r="X25" s="2098"/>
      <c r="Y25" s="2098"/>
      <c r="Z25" s="2098"/>
      <c r="AA25" s="2098"/>
      <c r="AB25" s="2098"/>
      <c r="AC25" s="2098"/>
      <c r="AD25" s="2098"/>
      <c r="AE25" s="2098"/>
      <c r="AF25" s="2098"/>
      <c r="AG25" s="2098"/>
      <c r="AH25" s="2098"/>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7" t="s">
        <v>37</v>
      </c>
      <c r="T27" s="2137"/>
      <c r="U27" s="1290"/>
      <c r="V27" s="2139" t="str">
        <f>IF(TITLE_NAME_OR_PR_CHANGE="",IF(TITLE_NAME_OR_PR="","",TITLE_NAME_OR_PR),TITLE_NAME_OR_PR_CHANGE)</f>
        <v/>
      </c>
      <c r="W27" s="2139"/>
      <c r="X27" s="2139"/>
      <c r="Y27" s="2139"/>
      <c r="Z27" s="2139"/>
      <c r="AA27" s="2139"/>
      <c r="AB27" s="251"/>
      <c r="AC27" s="2139" t="str">
        <f>IF(TITLE_NAME_OR_PR_CHANGE="",IF(TITLE_NAME_OR_PR="","",TITLE_NAME_OR_PR),TITLE_NAME_OR_PR_CHANGE)</f>
        <v/>
      </c>
      <c r="AD27" s="2139"/>
      <c r="AE27" s="2139"/>
      <c r="AF27" s="2139"/>
      <c r="AG27" s="2139"/>
      <c r="AH27" s="2139"/>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7" t="s">
        <v>393</v>
      </c>
      <c r="T28" s="2137"/>
      <c r="U28" s="1290"/>
      <c r="V28" s="2138" t="str">
        <f>IF(TITLE_DATE_PR_CHANGE="",IF(TITLE_DATE_PR="","",TITLE_DATE_PR),TITLE_DATE_PR_CHANGE)</f>
        <v/>
      </c>
      <c r="W28" s="2138"/>
      <c r="X28" s="2138"/>
      <c r="Y28" s="2138"/>
      <c r="Z28" s="2138"/>
      <c r="AA28" s="2138"/>
      <c r="AB28" s="251"/>
      <c r="AC28" s="2138" t="str">
        <f>IF(TITLE_DATE_PR_CHANGE="",IF(TITLE_DATE_PR="","",TITLE_DATE_PR),TITLE_DATE_PR_CHANGE)</f>
        <v/>
      </c>
      <c r="AD28" s="2138"/>
      <c r="AE28" s="2138"/>
      <c r="AF28" s="2138"/>
      <c r="AG28" s="2138"/>
      <c r="AH28" s="2138"/>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7" t="s">
        <v>394</v>
      </c>
      <c r="T29" s="2137"/>
      <c r="U29" s="1290"/>
      <c r="V29" s="2139" t="str">
        <f>IF(TITLE_NUMBER_PR_CHANGE="",IF(TITLE_NUMBER_PR="","",TITLE_NUMBER_PR),TITLE_NUMBER_PR_CHANGE)</f>
        <v/>
      </c>
      <c r="W29" s="2139"/>
      <c r="X29" s="2139"/>
      <c r="Y29" s="2139"/>
      <c r="Z29" s="2139"/>
      <c r="AA29" s="2139"/>
      <c r="AB29" s="251"/>
      <c r="AC29" s="2139" t="str">
        <f>IF(TITLE_NUMBER_PR_CHANGE="",IF(TITLE_NUMBER_PR="","",TITLE_NUMBER_PR),TITLE_NUMBER_PR_CHANGE)</f>
        <v/>
      </c>
      <c r="AD29" s="2139"/>
      <c r="AE29" s="2139"/>
      <c r="AF29" s="2139"/>
      <c r="AG29" s="2139"/>
      <c r="AH29" s="2139"/>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7" t="s">
        <v>38</v>
      </c>
      <c r="T30" s="2137"/>
      <c r="U30" s="1290"/>
      <c r="V30" s="2139" t="str">
        <f>IF(TITLE_IST_PUB_CHANGE="",IF(TITLE_IST_PUB="","",TITLE_IST_PUB),TITLE_IST_PUB_CHANGE)</f>
        <v/>
      </c>
      <c r="W30" s="2139"/>
      <c r="X30" s="2139"/>
      <c r="Y30" s="2139"/>
      <c r="Z30" s="2139"/>
      <c r="AA30" s="2139"/>
      <c r="AB30" s="251"/>
      <c r="AC30" s="2139" t="str">
        <f>IF(TITLE_IST_PUB_CHANGE="",IF(TITLE_IST_PUB="","",TITLE_IST_PUB),TITLE_IST_PUB_CHANGE)</f>
        <v/>
      </c>
      <c r="AD30" s="2139"/>
      <c r="AE30" s="2139"/>
      <c r="AF30" s="2139"/>
      <c r="AG30" s="2139"/>
      <c r="AH30" s="2139"/>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7" t="s">
        <v>395</v>
      </c>
      <c r="T32" s="2137"/>
      <c r="U32" s="1290"/>
      <c r="V32" s="2138" t="str">
        <f>IF(TITLE_DATE_PR_CHANGE="",IF(TITLE_DATE_PR="","",TITLE_DATE_PR),TITLE_DATE_PR_CHANGE)</f>
        <v/>
      </c>
      <c r="W32" s="2138"/>
      <c r="X32" s="2138"/>
      <c r="Y32" s="2138"/>
      <c r="Z32" s="2138"/>
      <c r="AA32" s="2138"/>
      <c r="AB32" s="251"/>
      <c r="AC32" s="2138" t="str">
        <f>IF(TITLE_DATE_PR_CHANGE="",IF(TITLE_DATE_PR="","",TITLE_DATE_PR),TITLE_DATE_PR_CHANGE)</f>
        <v/>
      </c>
      <c r="AD32" s="2138"/>
      <c r="AE32" s="2138"/>
      <c r="AF32" s="2138"/>
      <c r="AG32" s="2138"/>
      <c r="AH32" s="2138"/>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7" t="s">
        <v>396</v>
      </c>
      <c r="T33" s="2137"/>
      <c r="U33" s="1290"/>
      <c r="V33" s="2139" t="str">
        <f>IF(TITLE_NUMBER_PR_CHANGE="",IF(TITLE_NUMBER_PR="","",TITLE_NUMBER_PR),TITLE_NUMBER_PR_CHANGE)</f>
        <v/>
      </c>
      <c r="W33" s="2139"/>
      <c r="X33" s="2139"/>
      <c r="Y33" s="2139"/>
      <c r="Z33" s="2139"/>
      <c r="AA33" s="2139"/>
      <c r="AB33" s="251"/>
      <c r="AC33" s="2139" t="str">
        <f>IF(TITLE_NUMBER_PR_CHANGE="",IF(TITLE_NUMBER_PR="","",TITLE_NUMBER_PR),TITLE_NUMBER_PR_CHANGE)</f>
        <v/>
      </c>
      <c r="AD33" s="2139"/>
      <c r="AE33" s="2139"/>
      <c r="AF33" s="2139"/>
      <c r="AG33" s="2139"/>
      <c r="AH33" s="2139"/>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369"/>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8"/>
      <c r="W35" s="2158"/>
      <c r="X35" s="2158"/>
      <c r="Y35" s="2158"/>
      <c r="Z35" s="2158"/>
      <c r="AA35" s="2158"/>
      <c r="AB35" s="2158"/>
      <c r="AC35" s="2158"/>
      <c r="AD35" s="2158"/>
      <c r="AE35" s="2158"/>
      <c r="AF35" s="2158"/>
      <c r="AG35" s="2158"/>
      <c r="AH35" s="2158"/>
      <c r="AI35" s="2158"/>
    </row>
    <row r="36" spans="1:42" ht="14.25" customHeight="1">
      <c r="Q36" s="304"/>
      <c r="R36" s="304"/>
      <c r="S36" s="2019" t="s">
        <v>268</v>
      </c>
      <c r="T36" s="2019"/>
      <c r="U36" s="2019"/>
      <c r="V36" s="2019"/>
      <c r="W36" s="2019"/>
      <c r="X36" s="2019"/>
      <c r="Y36" s="2019"/>
      <c r="Z36" s="2019"/>
      <c r="AA36" s="2019"/>
      <c r="AB36" s="2019"/>
      <c r="AC36" s="2019"/>
      <c r="AD36" s="2019"/>
      <c r="AE36" s="2019"/>
      <c r="AF36" s="2019"/>
      <c r="AG36" s="2019"/>
      <c r="AH36" s="2019"/>
      <c r="AI36" s="2019"/>
      <c r="AJ36" s="2019"/>
      <c r="AK36" s="2019" t="s">
        <v>269</v>
      </c>
    </row>
    <row r="37" spans="1:42" ht="14.25" customHeight="1">
      <c r="Q37" s="304"/>
      <c r="R37" s="304"/>
      <c r="S37" s="2159" t="s">
        <v>73</v>
      </c>
      <c r="T37" s="2107" t="s">
        <v>398</v>
      </c>
      <c r="U37" s="218"/>
      <c r="V37" s="2160" t="s">
        <v>399</v>
      </c>
      <c r="W37" s="2161"/>
      <c r="X37" s="2161"/>
      <c r="Y37" s="2161"/>
      <c r="Z37" s="2161"/>
      <c r="AA37" s="2162"/>
      <c r="AB37" s="2163" t="s">
        <v>400</v>
      </c>
      <c r="AC37" s="2160" t="s">
        <v>399</v>
      </c>
      <c r="AD37" s="2161"/>
      <c r="AE37" s="2161"/>
      <c r="AF37" s="2161"/>
      <c r="AG37" s="2161"/>
      <c r="AH37" s="2162"/>
      <c r="AI37" s="2163" t="s">
        <v>401</v>
      </c>
      <c r="AJ37" s="2166" t="s">
        <v>402</v>
      </c>
      <c r="AK37" s="2019"/>
    </row>
    <row r="38" spans="1:42" ht="33.75" customHeight="1">
      <c r="Q38" s="304"/>
      <c r="R38" s="304"/>
      <c r="S38" s="2159"/>
      <c r="T38" s="2107"/>
      <c r="U38" s="940"/>
      <c r="V38" s="1367" t="s">
        <v>459</v>
      </c>
      <c r="W38" s="2001" t="s">
        <v>405</v>
      </c>
      <c r="X38" s="2000"/>
      <c r="Y38" s="2001" t="s">
        <v>406</v>
      </c>
      <c r="Z38" s="2006"/>
      <c r="AA38" s="2000"/>
      <c r="AB38" s="2164"/>
      <c r="AC38" s="1367" t="s">
        <v>459</v>
      </c>
      <c r="AD38" s="2001" t="s">
        <v>405</v>
      </c>
      <c r="AE38" s="2000"/>
      <c r="AF38" s="2001" t="s">
        <v>406</v>
      </c>
      <c r="AG38" s="2006"/>
      <c r="AH38" s="2000"/>
      <c r="AI38" s="2164"/>
      <c r="AJ38" s="2167"/>
      <c r="AK38" s="2019"/>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9"/>
      <c r="T39" s="2107"/>
      <c r="U39" s="219"/>
      <c r="V39" s="1367" t="s">
        <v>462</v>
      </c>
      <c r="W39" s="1130" t="s">
        <v>463</v>
      </c>
      <c r="X39" s="1130" t="s">
        <v>464</v>
      </c>
      <c r="Y39" s="1370" t="s">
        <v>416</v>
      </c>
      <c r="Z39" s="2112" t="s">
        <v>417</v>
      </c>
      <c r="AA39" s="2126"/>
      <c r="AB39" s="2165"/>
      <c r="AC39" s="1367" t="s">
        <v>462</v>
      </c>
      <c r="AD39" s="1130" t="s">
        <v>463</v>
      </c>
      <c r="AE39" s="1130" t="s">
        <v>464</v>
      </c>
      <c r="AF39" s="1370" t="s">
        <v>416</v>
      </c>
      <c r="AG39" s="2112" t="s">
        <v>417</v>
      </c>
      <c r="AH39" s="2126"/>
      <c r="AI39" s="2165"/>
      <c r="AJ39" s="2168"/>
      <c r="AK39" s="2019"/>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66">
        <f ca="1">OFFSET(V40,0,-1)+1</f>
        <v>3</v>
      </c>
      <c r="W40" s="1366">
        <f ca="1">OFFSET(W40,0,-1)+1</f>
        <v>4</v>
      </c>
      <c r="X40" s="1366">
        <f ca="1">OFFSET(X40,0,-1)+1</f>
        <v>5</v>
      </c>
      <c r="Y40" s="1366">
        <f ca="1">OFFSET(Y40,0,-1)+1</f>
        <v>6</v>
      </c>
      <c r="Z40" s="2157">
        <f ca="1">OFFSET(Z40,0,-1)+1</f>
        <v>7</v>
      </c>
      <c r="AA40" s="2157"/>
      <c r="AB40" s="1366">
        <f ca="1">OFFSET(AB40,0,-2)+1</f>
        <v>8</v>
      </c>
      <c r="AC40" s="1366">
        <f ca="1">OFFSET(AC40,0,-1)+1</f>
        <v>9</v>
      </c>
      <c r="AD40" s="1366">
        <f ca="1">OFFSET(AD40,0,-1)+1</f>
        <v>10</v>
      </c>
      <c r="AE40" s="1366">
        <f ca="1">OFFSET(AE40,0,-1)+1</f>
        <v>11</v>
      </c>
      <c r="AF40" s="1366">
        <f ca="1">OFFSET(AF40,0,-1)+1</f>
        <v>12</v>
      </c>
      <c r="AG40" s="2157">
        <f ca="1">OFFSET(AG40,0,-1)+1</f>
        <v>13</v>
      </c>
      <c r="AH40" s="2157"/>
      <c r="AI40" s="1366">
        <f ca="1">OFFSET(AI40,0,-2)+1</f>
        <v>14</v>
      </c>
      <c r="AJ40" s="1156">
        <f ca="1">OFFSET(AJ40,0,-1)</f>
        <v>14</v>
      </c>
      <c r="AK40" s="1366">
        <f ca="1">OFFSET(AK40,0,-1)+1</f>
        <v>15</v>
      </c>
      <c r="AL40" s="436"/>
      <c r="AM40" s="436"/>
      <c r="AN40" s="436"/>
      <c r="AO40" s="436"/>
      <c r="AP40" s="436"/>
    </row>
    <row r="41" spans="1:42" ht="23.25" customHeight="1">
      <c r="A41" s="1281" t="s">
        <v>209</v>
      </c>
      <c r="B41" s="1281"/>
      <c r="C41" s="1281"/>
      <c r="D41" s="1281"/>
      <c r="E41" s="2146">
        <v>1</v>
      </c>
      <c r="F41" s="1281"/>
      <c r="G41" s="1281"/>
      <c r="H41" s="1281"/>
      <c r="I41" s="1281"/>
      <c r="J41" s="1281"/>
      <c r="K41" s="1281"/>
      <c r="L41" s="1282"/>
      <c r="M41" s="1283"/>
      <c r="N41" s="1283"/>
      <c r="O41" s="1283"/>
      <c r="P41" s="285"/>
      <c r="Q41" s="284"/>
      <c r="R41" s="279"/>
      <c r="S41" s="1372">
        <f>INDEX(PT_DIFFERENTIATION_NUM_NTAR,MATCH(A41,PT_DIFFERENTIATION_NTAR_ID,0))</f>
        <v>0</v>
      </c>
      <c r="T41" s="215" t="s">
        <v>105</v>
      </c>
      <c r="U41" s="217"/>
      <c r="V41" s="2140"/>
      <c r="W41" s="2141"/>
      <c r="X41" s="2141"/>
      <c r="Y41" s="2141"/>
      <c r="Z41" s="2141"/>
      <c r="AA41" s="2141"/>
      <c r="AB41" s="2142"/>
      <c r="AC41" s="2140" t="str">
        <f>INDEX(PT_DIFFERENTIATION_NTAR,MATCH(A41,PT_DIFFERENTIATION_NTAR_ID,0))</f>
        <v/>
      </c>
      <c r="AD41" s="2141"/>
      <c r="AE41" s="2141"/>
      <c r="AF41" s="2141"/>
      <c r="AG41" s="2141"/>
      <c r="AH41" s="2141"/>
      <c r="AI41" s="2141"/>
      <c r="AJ41" s="2142"/>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209</v>
      </c>
      <c r="B42" s="1281" t="s">
        <v>210</v>
      </c>
      <c r="C42" s="1281"/>
      <c r="D42" s="1281"/>
      <c r="E42" s="2147"/>
      <c r="F42" s="2146">
        <v>1</v>
      </c>
      <c r="G42" s="1281"/>
      <c r="H42" s="1281"/>
      <c r="I42" s="1281"/>
      <c r="J42" s="1281"/>
      <c r="K42" s="1281"/>
      <c r="L42" s="1282"/>
      <c r="M42" s="1283"/>
      <c r="N42" s="1283"/>
      <c r="O42" s="1283"/>
      <c r="P42" s="1368"/>
      <c r="Q42" s="276"/>
      <c r="R42" s="277"/>
      <c r="S42" s="1372" t="str">
        <f>INDEX(PT_DIFFERENTIATION_NUM_TER,MATCH(B42,PT_DIFFERENTIATION_TER_ID,0))</f>
        <v>.</v>
      </c>
      <c r="T42" s="227" t="s">
        <v>367</v>
      </c>
      <c r="U42" s="217"/>
      <c r="V42" s="2140"/>
      <c r="W42" s="2141"/>
      <c r="X42" s="2141"/>
      <c r="Y42" s="2141"/>
      <c r="Z42" s="2141"/>
      <c r="AA42" s="2141"/>
      <c r="AB42" s="2142"/>
      <c r="AC42" s="2140" t="str">
        <f>INDEX(PT_DIFFERENTIATION_TER,MATCH(B42,PT_DIFFERENTIATION_TER_ID,0))</f>
        <v/>
      </c>
      <c r="AD42" s="2141"/>
      <c r="AE42" s="2141"/>
      <c r="AF42" s="2141"/>
      <c r="AG42" s="2141"/>
      <c r="AH42" s="2141"/>
      <c r="AI42" s="2141"/>
      <c r="AJ42" s="2142"/>
      <c r="AK42" s="1179" t="s">
        <v>368</v>
      </c>
      <c r="AM42" s="425"/>
      <c r="AN42" s="425" t="str">
        <f t="shared" si="1"/>
        <v>Территория действия тарифа</v>
      </c>
      <c r="AO42" s="425"/>
      <c r="AP42" s="425"/>
    </row>
    <row r="43" spans="1:42" ht="23.25" customHeight="1">
      <c r="A43" s="1281" t="s">
        <v>209</v>
      </c>
      <c r="B43" s="1281" t="s">
        <v>210</v>
      </c>
      <c r="C43" s="1281" t="s">
        <v>211</v>
      </c>
      <c r="D43" s="1281"/>
      <c r="E43" s="2147"/>
      <c r="F43" s="2147"/>
      <c r="G43" s="2146">
        <v>1</v>
      </c>
      <c r="H43" s="1281"/>
      <c r="I43" s="1281"/>
      <c r="J43" s="1281"/>
      <c r="K43" s="1281"/>
      <c r="L43" s="1282"/>
      <c r="M43" s="1283"/>
      <c r="N43" s="1283"/>
      <c r="O43" s="1283"/>
      <c r="P43" s="278"/>
      <c r="Q43" s="276"/>
      <c r="R43" s="277"/>
      <c r="S43" s="1372" t="str">
        <f>INDEX(PT_DIFFERENTIATION_NUM_CS,MATCH(C43,PT_DIFFERENTIATION_CS_ID,0))</f>
        <v>..</v>
      </c>
      <c r="T43" s="228" t="s">
        <v>451</v>
      </c>
      <c r="U43" s="217"/>
      <c r="V43" s="2140"/>
      <c r="W43" s="2141"/>
      <c r="X43" s="2141"/>
      <c r="Y43" s="2141"/>
      <c r="Z43" s="2141"/>
      <c r="AA43" s="2141"/>
      <c r="AB43" s="2142"/>
      <c r="AC43" s="2140" t="str">
        <f>INDEX(PT_DIFFERENTIATION_CS,MATCH(C43,PT_DIFFERENTIATION_CS_ID,0))</f>
        <v/>
      </c>
      <c r="AD43" s="2141"/>
      <c r="AE43" s="2141"/>
      <c r="AF43" s="2141"/>
      <c r="AG43" s="2141"/>
      <c r="AH43" s="2141"/>
      <c r="AI43" s="2141"/>
      <c r="AJ43" s="2142"/>
      <c r="AK43" s="1179" t="s">
        <v>452</v>
      </c>
      <c r="AM43" s="425"/>
      <c r="AN43" s="425" t="str">
        <f t="shared" si="1"/>
        <v>Наименование централизованной системы холодного водоснабжения</v>
      </c>
      <c r="AO43" s="425"/>
      <c r="AP43" s="425"/>
    </row>
    <row r="44" spans="1:42" ht="23.25" customHeight="1">
      <c r="A44" s="1281" t="s">
        <v>209</v>
      </c>
      <c r="B44" s="1281" t="s">
        <v>210</v>
      </c>
      <c r="C44" s="1281" t="s">
        <v>211</v>
      </c>
      <c r="D44" s="1281" t="s">
        <v>468</v>
      </c>
      <c r="E44" s="2147"/>
      <c r="F44" s="2147"/>
      <c r="G44" s="2147"/>
      <c r="H44" s="2147"/>
      <c r="I44" s="2148" t="str">
        <f>S43&amp;".1"</f>
        <v>...1</v>
      </c>
      <c r="J44" s="1281"/>
      <c r="K44" s="1281"/>
      <c r="L44" s="1282"/>
      <c r="P44" s="2150">
        <v>1</v>
      </c>
      <c r="Q44" s="1365"/>
      <c r="R44" s="280"/>
      <c r="S44" s="1372"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209</v>
      </c>
      <c r="B45" s="1281" t="s">
        <v>210</v>
      </c>
      <c r="C45" s="1281" t="s">
        <v>211</v>
      </c>
      <c r="D45" s="1281" t="s">
        <v>468</v>
      </c>
      <c r="E45" s="2147"/>
      <c r="F45" s="2147"/>
      <c r="G45" s="2147"/>
      <c r="H45" s="2147"/>
      <c r="I45" s="2149"/>
      <c r="J45" s="2148" t="str">
        <f>I44&amp;".1"</f>
        <v>...1.1</v>
      </c>
      <c r="K45" s="1281"/>
      <c r="L45" s="1282" t="s">
        <v>376</v>
      </c>
      <c r="P45" s="2150"/>
      <c r="Q45" s="2150">
        <v>1</v>
      </c>
      <c r="R45" s="281"/>
      <c r="S45" s="1372" t="str">
        <f>$J45</f>
        <v>...1.1</v>
      </c>
      <c r="T45" s="203" t="s">
        <v>377</v>
      </c>
      <c r="U45" s="217"/>
      <c r="V45" s="2134"/>
      <c r="W45" s="2135"/>
      <c r="X45" s="2135"/>
      <c r="Y45" s="2135"/>
      <c r="Z45" s="2135"/>
      <c r="AA45" s="2135"/>
      <c r="AB45" s="2136"/>
      <c r="AC45" s="2134"/>
      <c r="AD45" s="2135"/>
      <c r="AE45" s="2135"/>
      <c r="AF45" s="2135"/>
      <c r="AG45" s="2135"/>
      <c r="AH45" s="2135"/>
      <c r="AI45" s="2135"/>
      <c r="AJ45" s="2136"/>
      <c r="AK45" s="1228" t="s">
        <v>455</v>
      </c>
      <c r="AM45" s="425"/>
      <c r="AN45" s="425" t="str">
        <f t="shared" si="1"/>
        <v>Группа потребителей</v>
      </c>
      <c r="AO45" s="425"/>
      <c r="AP45" s="425"/>
    </row>
    <row r="46" spans="1:42" ht="23.25" customHeight="1">
      <c r="A46" s="1281" t="s">
        <v>209</v>
      </c>
      <c r="B46" s="1281" t="s">
        <v>210</v>
      </c>
      <c r="C46" s="1281" t="s">
        <v>211</v>
      </c>
      <c r="D46" s="1281" t="s">
        <v>468</v>
      </c>
      <c r="E46" s="2147"/>
      <c r="F46" s="2147"/>
      <c r="G46" s="2147"/>
      <c r="H46" s="2147"/>
      <c r="I46" s="2149"/>
      <c r="J46" s="2149"/>
      <c r="K46" s="2148" t="str">
        <f>J45&amp;".1"</f>
        <v>...1.1.1</v>
      </c>
      <c r="L46" s="1282"/>
      <c r="P46" s="2150"/>
      <c r="Q46" s="2150"/>
      <c r="R46" s="281">
        <v>1</v>
      </c>
      <c r="S46" s="1372" t="str">
        <f>$K46</f>
        <v>...1.1.1</v>
      </c>
      <c r="T46" s="1354"/>
      <c r="U46" s="217"/>
      <c r="V46" s="668"/>
      <c r="W46" s="668"/>
      <c r="X46" s="1178"/>
      <c r="Y46" s="2151"/>
      <c r="Z46" s="2029" t="s">
        <v>50</v>
      </c>
      <c r="AA46" s="2151"/>
      <c r="AB46" s="2029" t="s">
        <v>50</v>
      </c>
      <c r="AC46" s="668"/>
      <c r="AD46" s="668"/>
      <c r="AE46" s="1178"/>
      <c r="AF46" s="2151"/>
      <c r="AG46" s="2029" t="s">
        <v>50</v>
      </c>
      <c r="AH46" s="2153"/>
      <c r="AI46" s="2029" t="s">
        <v>50</v>
      </c>
      <c r="AJ46" s="1355"/>
      <c r="AK46"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209</v>
      </c>
      <c r="B47" s="1281" t="s">
        <v>210</v>
      </c>
      <c r="C47" s="1281" t="s">
        <v>211</v>
      </c>
      <c r="D47" s="1281" t="s">
        <v>468</v>
      </c>
      <c r="E47" s="2147"/>
      <c r="F47" s="2147"/>
      <c r="G47" s="2147"/>
      <c r="H47" s="2147"/>
      <c r="I47" s="2149"/>
      <c r="J47" s="2149"/>
      <c r="K47" s="2148"/>
      <c r="L47" s="1282"/>
      <c r="P47" s="2150"/>
      <c r="Q47" s="2150"/>
      <c r="R47" s="281"/>
      <c r="S47" s="1371"/>
      <c r="T47" s="217"/>
      <c r="U47" s="217"/>
      <c r="V47" s="249"/>
      <c r="W47" s="249"/>
      <c r="X47" s="253" t="str">
        <f>Y46&amp;"-"&amp;AA46</f>
        <v>-</v>
      </c>
      <c r="Y47" s="2152"/>
      <c r="Z47" s="2029"/>
      <c r="AA47" s="2152"/>
      <c r="AB47" s="2029"/>
      <c r="AC47" s="249"/>
      <c r="AD47" s="249"/>
      <c r="AE47" s="253" t="str">
        <f>AF46&amp;"-"&amp;AH46</f>
        <v>-</v>
      </c>
      <c r="AF47" s="2152"/>
      <c r="AG47" s="2029"/>
      <c r="AH47" s="2154"/>
      <c r="AI47" s="2029"/>
      <c r="AJ47" s="1356"/>
      <c r="AK47" s="2212"/>
      <c r="AM47" s="425"/>
      <c r="AN47" s="425" t="str">
        <f t="shared" si="1"/>
        <v/>
      </c>
      <c r="AO47" s="425"/>
      <c r="AP47" s="425"/>
    </row>
    <row r="48" spans="1:42" ht="21" customHeight="1">
      <c r="A48" s="1281" t="s">
        <v>209</v>
      </c>
      <c r="B48" s="1281" t="s">
        <v>210</v>
      </c>
      <c r="C48" s="1281" t="s">
        <v>211</v>
      </c>
      <c r="D48" s="1281" t="s">
        <v>468</v>
      </c>
      <c r="E48" s="2147"/>
      <c r="F48" s="2147"/>
      <c r="G48" s="2147"/>
      <c r="H48" s="2147"/>
      <c r="I48" s="2149"/>
      <c r="J48" s="2148"/>
      <c r="K48" s="1281"/>
      <c r="L48" s="1282"/>
      <c r="P48" s="2150"/>
      <c r="Q48" s="2150"/>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209</v>
      </c>
      <c r="B49" s="1281" t="s">
        <v>210</v>
      </c>
      <c r="C49" s="1281" t="s">
        <v>211</v>
      </c>
      <c r="D49" s="1281" t="s">
        <v>468</v>
      </c>
      <c r="E49" s="2147"/>
      <c r="F49" s="2147"/>
      <c r="G49" s="2147"/>
      <c r="H49" s="2147"/>
      <c r="I49" s="2148"/>
      <c r="J49" s="1281"/>
      <c r="K49" s="1281"/>
      <c r="L49" s="1282"/>
      <c r="P49" s="2150"/>
      <c r="Q49" s="1365"/>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209</v>
      </c>
      <c r="B50" s="1281" t="s">
        <v>210</v>
      </c>
      <c r="C50" s="1281" t="s">
        <v>211</v>
      </c>
      <c r="D50" s="1281" t="s">
        <v>468</v>
      </c>
      <c r="E50" s="2147"/>
      <c r="F50" s="2147"/>
      <c r="G50" s="2147"/>
      <c r="H50" s="2146"/>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209</v>
      </c>
      <c r="B51" s="1262" t="s">
        <v>210</v>
      </c>
      <c r="C51" s="1234"/>
      <c r="D51" s="1234"/>
      <c r="E51" s="2147"/>
      <c r="F51" s="2146"/>
      <c r="G51" s="1234"/>
      <c r="H51" s="1234"/>
      <c r="I51" s="1234"/>
      <c r="J51" s="1234"/>
      <c r="K51" s="1234"/>
      <c r="L51" s="137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209</v>
      </c>
      <c r="B52" s="1262"/>
      <c r="C52" s="1262"/>
      <c r="D52" s="1262"/>
      <c r="E52" s="2146"/>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7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5"/>
      <c r="U55" s="2145"/>
      <c r="V55" s="2145"/>
      <c r="W55" s="2145"/>
      <c r="X55" s="2145"/>
      <c r="Y55" s="2145"/>
      <c r="Z55" s="2145"/>
      <c r="AA55" s="2145"/>
      <c r="AB55" s="2145"/>
      <c r="AC55" s="2145"/>
      <c r="AD55" s="2145"/>
      <c r="AE55" s="2145"/>
      <c r="AF55" s="2145"/>
      <c r="AG55" s="2145"/>
      <c r="AH55" s="2145"/>
      <c r="AI55" s="2145"/>
      <c r="AJ55" s="2145"/>
      <c r="AK55" s="2145"/>
    </row>
    <row r="56" spans="1:42" ht="14.25" customHeight="1">
      <c r="O56" s="461"/>
    </row>
    <row r="57" spans="1:42" ht="14.25" customHeight="1">
      <c r="O57" s="461"/>
      <c r="S57" s="1166"/>
      <c r="T57" s="2145"/>
      <c r="U57" s="2145"/>
      <c r="V57" s="2145"/>
      <c r="W57" s="2145"/>
      <c r="X57" s="2145"/>
      <c r="Y57" s="2145"/>
      <c r="Z57" s="2145"/>
      <c r="AA57" s="2145"/>
      <c r="AB57" s="2145"/>
      <c r="AC57" s="2145"/>
      <c r="AD57" s="2145"/>
      <c r="AE57" s="2145"/>
      <c r="AF57" s="2145"/>
      <c r="AG57" s="2145"/>
      <c r="AH57" s="2145"/>
      <c r="AI57" s="2145"/>
      <c r="AJ57" s="2145"/>
      <c r="AK57" s="2145"/>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2" hidden="1" customWidth="1"/>
    <col min="2" max="2" width="11" style="1882" hidden="1" customWidth="1"/>
    <col min="3" max="3" width="10.5703125" style="1882" hidden="1"/>
    <col min="4" max="4" width="12.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900"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5" width="21.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2" width="3.7109375" style="1856" customWidth="1"/>
    <col min="33" max="33" width="24.7109375" style="1856" customWidth="1"/>
    <col min="34" max="36" width="3.7109375" style="1856" customWidth="1"/>
    <col min="37" max="37" width="24.7109375" style="1856" customWidth="1"/>
    <col min="38" max="40" width="3.7109375" style="1856" customWidth="1"/>
    <col min="41" max="41" width="18.85546875" style="1856" customWidth="1"/>
    <col min="42" max="44" width="3.7109375" style="1856" customWidth="1"/>
    <col min="45" max="45" width="18.85546875" style="1856" customWidth="1"/>
    <col min="46" max="49" width="21.7109375" style="1856" customWidth="1"/>
    <col min="50" max="50" width="11.7109375" style="1856" customWidth="1"/>
    <col min="51" max="51" width="3.7109375" style="1856" customWidth="1"/>
    <col min="52" max="52" width="11.7109375" style="1856" customWidth="1"/>
    <col min="53" max="53" width="8.5703125" style="1856" hidden="1" customWidth="1"/>
    <col min="54" max="54" width="4.7109375" style="1856" customWidth="1"/>
    <col min="55" max="55" width="115.7109375" style="1856" customWidth="1"/>
    <col min="56" max="57" width="10.5703125" style="1811"/>
    <col min="58" max="58" width="11.140625" style="1811" customWidth="1"/>
    <col min="59" max="60" width="10.5703125" style="1811"/>
  </cols>
  <sheetData>
    <row r="1" spans="1:60" ht="14.25" hidden="1" customHeight="1">
      <c r="W1" s="252"/>
      <c r="Y1" s="252"/>
      <c r="Z1" s="252"/>
      <c r="AW1" s="252"/>
      <c r="AX1" s="252"/>
    </row>
    <row r="2" spans="1:60" ht="21" hidden="1" customHeight="1">
      <c r="A2" s="1281"/>
      <c r="B2" s="1281"/>
      <c r="C2" s="1281"/>
      <c r="D2" s="1281"/>
      <c r="E2" s="2146">
        <v>1</v>
      </c>
      <c r="F2" s="1281"/>
      <c r="G2" s="1281"/>
      <c r="H2" s="1281"/>
      <c r="I2" s="1281"/>
      <c r="J2" s="1281"/>
      <c r="K2" s="1281"/>
      <c r="L2" s="1282"/>
      <c r="M2" s="1283"/>
      <c r="N2" s="1283"/>
      <c r="O2" s="1283"/>
      <c r="P2" s="1327"/>
      <c r="Q2" s="787"/>
      <c r="R2" s="279"/>
      <c r="S2" s="1379" t="e">
        <f>INDEX(PT_DIFFERENTIATION_NUM_NTAR,MATCH(A2,PT_DIFFERENTIATION_NTAR_ID,0))</f>
        <v>#N/A</v>
      </c>
      <c r="T2" s="215" t="s">
        <v>105</v>
      </c>
      <c r="U2" s="217"/>
      <c r="V2" s="2141"/>
      <c r="W2" s="2141"/>
      <c r="X2" s="2141"/>
      <c r="Y2" s="2141"/>
      <c r="Z2" s="2141"/>
      <c r="AA2" s="2141"/>
      <c r="AB2" s="2141"/>
      <c r="AC2" s="2142"/>
      <c r="AD2" s="2140" t="e">
        <f>INDEX(PT_DIFFERENTIATION_NTAR,MATCH(A2,PT_DIFFERENTIATION_NTAR_ID,0))</f>
        <v>#N/A</v>
      </c>
      <c r="AE2" s="2141"/>
      <c r="AF2" s="2141"/>
      <c r="AG2" s="2141"/>
      <c r="AH2" s="2141"/>
      <c r="AI2" s="2141"/>
      <c r="AJ2" s="2141"/>
      <c r="AK2" s="2141"/>
      <c r="AL2" s="2141"/>
      <c r="AM2" s="2141"/>
      <c r="AN2" s="2141"/>
      <c r="AO2" s="2141"/>
      <c r="AP2" s="2141"/>
      <c r="AQ2" s="2141"/>
      <c r="AR2" s="2141"/>
      <c r="AS2" s="2141"/>
      <c r="AT2" s="2141"/>
      <c r="AU2" s="2141"/>
      <c r="AV2" s="2141"/>
      <c r="AW2" s="2141"/>
      <c r="AX2" s="2141"/>
      <c r="AY2" s="2141"/>
      <c r="AZ2" s="2141"/>
      <c r="BA2" s="2141"/>
      <c r="BB2" s="2142"/>
      <c r="BC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5"/>
      <c r="BF2" s="425" t="str">
        <f t="shared" ref="BF2:BF8" si="0">IF(T2="","",T2)</f>
        <v>Наименование тарифа</v>
      </c>
      <c r="BG2" s="425"/>
      <c r="BH2" s="425"/>
    </row>
    <row r="3" spans="1:60" ht="21" hidden="1" customHeight="1">
      <c r="A3" s="1281"/>
      <c r="B3" s="1281"/>
      <c r="C3" s="1281"/>
      <c r="D3" s="1281"/>
      <c r="E3" s="2147"/>
      <c r="F3" s="2146">
        <v>1</v>
      </c>
      <c r="G3" s="1281"/>
      <c r="H3" s="1281"/>
      <c r="I3" s="1281"/>
      <c r="J3" s="1281"/>
      <c r="K3" s="1281"/>
      <c r="L3" s="1282"/>
      <c r="M3" s="1283"/>
      <c r="N3" s="1283"/>
      <c r="O3" s="1283"/>
      <c r="P3" s="1328"/>
      <c r="Q3" s="1329"/>
      <c r="R3" s="277"/>
      <c r="S3" s="1379" t="e">
        <f>INDEX(PT_DIFFERENTIATION_NUM_TER,MATCH(B3,PT_DIFFERENTIATION_TER_ID,0))</f>
        <v>#N/A</v>
      </c>
      <c r="T3" s="227" t="s">
        <v>367</v>
      </c>
      <c r="U3" s="217"/>
      <c r="V3" s="2141"/>
      <c r="W3" s="2141"/>
      <c r="X3" s="2141"/>
      <c r="Y3" s="2141"/>
      <c r="Z3" s="2141"/>
      <c r="AA3" s="2141"/>
      <c r="AB3" s="2141"/>
      <c r="AC3" s="2142"/>
      <c r="AD3" s="2140" t="e">
        <f>INDEX(PT_DIFFERENTIATION_TER,MATCH(B3,PT_DIFFERENTIATION_TER_ID,0))</f>
        <v>#N/A</v>
      </c>
      <c r="AE3" s="2141"/>
      <c r="AF3" s="2141"/>
      <c r="AG3" s="2141"/>
      <c r="AH3" s="2141"/>
      <c r="AI3" s="2141"/>
      <c r="AJ3" s="2141"/>
      <c r="AK3" s="2141"/>
      <c r="AL3" s="2141"/>
      <c r="AM3" s="2141"/>
      <c r="AN3" s="2141"/>
      <c r="AO3" s="2141"/>
      <c r="AP3" s="2141"/>
      <c r="AQ3" s="2141"/>
      <c r="AR3" s="2141"/>
      <c r="AS3" s="2141"/>
      <c r="AT3" s="2141"/>
      <c r="AU3" s="2141"/>
      <c r="AV3" s="2141"/>
      <c r="AW3" s="2141"/>
      <c r="AX3" s="2141"/>
      <c r="AY3" s="2141"/>
      <c r="AZ3" s="2141"/>
      <c r="BA3" s="2141"/>
      <c r="BB3" s="2142"/>
      <c r="BC3" s="1179" t="s">
        <v>368</v>
      </c>
      <c r="BE3" s="425"/>
      <c r="BF3" s="425" t="str">
        <f t="shared" si="0"/>
        <v>Территория действия тарифа</v>
      </c>
      <c r="BG3" s="425"/>
      <c r="BH3" s="425"/>
    </row>
    <row r="4" spans="1:60" ht="42" hidden="1" customHeight="1">
      <c r="A4" s="1281"/>
      <c r="B4" s="1281"/>
      <c r="C4" s="1281"/>
      <c r="D4" s="1281"/>
      <c r="E4" s="2147"/>
      <c r="F4" s="2147"/>
      <c r="G4" s="2146">
        <v>1</v>
      </c>
      <c r="H4" s="1281"/>
      <c r="I4" s="1281"/>
      <c r="J4" s="1281"/>
      <c r="K4" s="1281"/>
      <c r="L4" s="1282"/>
      <c r="M4" s="1283"/>
      <c r="N4" s="1283"/>
      <c r="O4" s="1283"/>
      <c r="P4" s="1330"/>
      <c r="Q4" s="1329"/>
      <c r="R4" s="277"/>
      <c r="S4" s="1379" t="e">
        <f>INDEX(PT_DIFFERENTIATION_NUM_CS,MATCH(C4,PT_DIFFERENTIATION_CS_ID,0))</f>
        <v>#N/A</v>
      </c>
      <c r="T4" s="228" t="s">
        <v>451</v>
      </c>
      <c r="U4" s="217"/>
      <c r="V4" s="2141"/>
      <c r="W4" s="2141"/>
      <c r="X4" s="2141"/>
      <c r="Y4" s="2141"/>
      <c r="Z4" s="2141"/>
      <c r="AA4" s="2141"/>
      <c r="AB4" s="2141"/>
      <c r="AC4" s="2142"/>
      <c r="AD4" s="2140" t="e">
        <f>INDEX(PT_DIFFERENTIATION_CS,MATCH(C4,PT_DIFFERENTIATION_CS_ID,0))</f>
        <v>#N/A</v>
      </c>
      <c r="AE4" s="2141"/>
      <c r="AF4" s="2141"/>
      <c r="AG4" s="2141"/>
      <c r="AH4" s="2141"/>
      <c r="AI4" s="2141"/>
      <c r="AJ4" s="2141"/>
      <c r="AK4" s="2141"/>
      <c r="AL4" s="2141"/>
      <c r="AM4" s="2141"/>
      <c r="AN4" s="2141"/>
      <c r="AO4" s="2141"/>
      <c r="AP4" s="2141"/>
      <c r="AQ4" s="2141"/>
      <c r="AR4" s="2141"/>
      <c r="AS4" s="2141"/>
      <c r="AT4" s="2141"/>
      <c r="AU4" s="2141"/>
      <c r="AV4" s="2141"/>
      <c r="AW4" s="2141"/>
      <c r="AX4" s="2141"/>
      <c r="AY4" s="2141"/>
      <c r="AZ4" s="2141"/>
      <c r="BA4" s="2141"/>
      <c r="BB4" s="2142"/>
      <c r="BC4" s="1179" t="s">
        <v>452</v>
      </c>
      <c r="BE4" s="425"/>
      <c r="BF4" s="425" t="str">
        <f t="shared" si="0"/>
        <v>Наименование централизованной системы холодного водоснабжения</v>
      </c>
      <c r="BG4" s="425"/>
      <c r="BH4" s="425"/>
    </row>
    <row r="5" spans="1:60" s="1811" customFormat="1" ht="14.25" hidden="1" customHeight="1">
      <c r="A5" s="1262"/>
      <c r="B5" s="1262"/>
      <c r="C5" s="1262"/>
      <c r="D5" s="1262"/>
      <c r="E5" s="2147"/>
      <c r="F5" s="2147"/>
      <c r="G5" s="2147"/>
      <c r="H5" s="2146">
        <v>1</v>
      </c>
      <c r="I5" s="1262"/>
      <c r="J5" s="1262"/>
      <c r="K5" s="1262"/>
      <c r="L5" s="1265"/>
      <c r="M5" s="1235"/>
      <c r="N5" s="1235"/>
      <c r="O5" s="1235"/>
      <c r="P5" s="1409"/>
      <c r="Q5" s="1410"/>
      <c r="R5" s="281"/>
      <c r="S5" s="951"/>
      <c r="T5" s="1411"/>
      <c r="U5" s="1302"/>
      <c r="V5" s="2176"/>
      <c r="W5" s="2176"/>
      <c r="X5" s="2176"/>
      <c r="Y5" s="2176"/>
      <c r="Z5" s="2176"/>
      <c r="AA5" s="2176"/>
      <c r="AB5" s="2176"/>
      <c r="AC5" s="2177"/>
      <c r="AD5" s="2175"/>
      <c r="AE5" s="2176"/>
      <c r="AF5" s="2176"/>
      <c r="AG5" s="2176"/>
      <c r="AH5" s="2176"/>
      <c r="AI5" s="2176"/>
      <c r="AJ5" s="2176"/>
      <c r="AK5" s="2176"/>
      <c r="AL5" s="2176"/>
      <c r="AM5" s="2176"/>
      <c r="AN5" s="2176"/>
      <c r="AO5" s="2176"/>
      <c r="AP5" s="2176"/>
      <c r="AQ5" s="2176"/>
      <c r="AR5" s="2176"/>
      <c r="AS5" s="2176"/>
      <c r="AT5" s="2176"/>
      <c r="AU5" s="2176"/>
      <c r="AV5" s="2176"/>
      <c r="AW5" s="2176"/>
      <c r="AX5" s="2176"/>
      <c r="AY5" s="2176"/>
      <c r="AZ5" s="2176"/>
      <c r="BA5" s="2176"/>
      <c r="BB5" s="2177"/>
      <c r="BC5" s="1303" t="s">
        <v>372</v>
      </c>
      <c r="BE5" s="425"/>
      <c r="BF5" s="425" t="str">
        <f t="shared" si="0"/>
        <v/>
      </c>
      <c r="BG5" s="425"/>
      <c r="BH5" s="425"/>
    </row>
    <row r="6" spans="1:60" s="1811" customFormat="1" ht="14.25" hidden="1" customHeight="1">
      <c r="A6" s="1262"/>
      <c r="B6" s="1262"/>
      <c r="C6" s="1262"/>
      <c r="D6" s="1262"/>
      <c r="E6" s="2147"/>
      <c r="F6" s="2147"/>
      <c r="G6" s="2147"/>
      <c r="H6" s="2147"/>
      <c r="I6" s="2148" t="str">
        <f>S5&amp;".1"</f>
        <v>.1</v>
      </c>
      <c r="J6" s="1262"/>
      <c r="K6" s="1262"/>
      <c r="L6" s="1265" t="s">
        <v>373</v>
      </c>
      <c r="M6" s="435"/>
      <c r="N6" s="435"/>
      <c r="O6" s="435"/>
      <c r="P6" s="2150">
        <v>1</v>
      </c>
      <c r="Q6" s="1376"/>
      <c r="R6" s="280"/>
      <c r="S6" s="951"/>
      <c r="T6" s="1301"/>
      <c r="U6" s="1302"/>
      <c r="V6" s="2176"/>
      <c r="W6" s="2176"/>
      <c r="X6" s="2176"/>
      <c r="Y6" s="2176"/>
      <c r="Z6" s="2176"/>
      <c r="AA6" s="2176"/>
      <c r="AB6" s="2176"/>
      <c r="AC6" s="2177"/>
      <c r="AD6" s="2175"/>
      <c r="AE6" s="2176"/>
      <c r="AF6" s="2176"/>
      <c r="AG6" s="2176"/>
      <c r="AH6" s="2176"/>
      <c r="AI6" s="2176"/>
      <c r="AJ6" s="2176"/>
      <c r="AK6" s="2176"/>
      <c r="AL6" s="2176"/>
      <c r="AM6" s="2176"/>
      <c r="AN6" s="2176"/>
      <c r="AO6" s="2176"/>
      <c r="AP6" s="2176"/>
      <c r="AQ6" s="2176"/>
      <c r="AR6" s="2176"/>
      <c r="AS6" s="2176"/>
      <c r="AT6" s="2176"/>
      <c r="AU6" s="2176"/>
      <c r="AV6" s="2176"/>
      <c r="AW6" s="2176"/>
      <c r="AX6" s="2176"/>
      <c r="AY6" s="2176"/>
      <c r="AZ6" s="2176"/>
      <c r="BA6" s="2176"/>
      <c r="BB6" s="2177"/>
      <c r="BC6" s="1303"/>
      <c r="BE6" s="425"/>
      <c r="BF6" s="425" t="str">
        <f t="shared" si="0"/>
        <v/>
      </c>
      <c r="BG6" s="425"/>
      <c r="BH6" s="425"/>
    </row>
    <row r="7" spans="1:60" s="1811" customFormat="1" ht="14.25" hidden="1" customHeight="1">
      <c r="A7" s="1262"/>
      <c r="B7" s="1262"/>
      <c r="C7" s="1262"/>
      <c r="D7" s="1262"/>
      <c r="E7" s="2147"/>
      <c r="F7" s="2147"/>
      <c r="G7" s="2147"/>
      <c r="H7" s="2147"/>
      <c r="I7" s="2149"/>
      <c r="J7" s="2148" t="str">
        <f>S5&amp;".1"</f>
        <v>.1</v>
      </c>
      <c r="K7" s="1262"/>
      <c r="L7" s="1265"/>
      <c r="M7" s="435"/>
      <c r="N7" s="435"/>
      <c r="O7" s="435"/>
      <c r="P7" s="2150"/>
      <c r="Q7" s="2150">
        <v>1</v>
      </c>
      <c r="R7" s="281"/>
      <c r="S7" s="951"/>
      <c r="T7" s="1317"/>
      <c r="U7" s="1302"/>
      <c r="V7" s="2176"/>
      <c r="W7" s="2176"/>
      <c r="X7" s="2176"/>
      <c r="Y7" s="2176"/>
      <c r="Z7" s="2176"/>
      <c r="AA7" s="2176"/>
      <c r="AB7" s="2176"/>
      <c r="AC7" s="2177"/>
      <c r="AD7" s="2175"/>
      <c r="AE7" s="2176"/>
      <c r="AF7" s="2176"/>
      <c r="AG7" s="2176"/>
      <c r="AH7" s="2176"/>
      <c r="AI7" s="2176"/>
      <c r="AJ7" s="2176"/>
      <c r="AK7" s="2176"/>
      <c r="AL7" s="2176"/>
      <c r="AM7" s="2176"/>
      <c r="AN7" s="2176"/>
      <c r="AO7" s="2176"/>
      <c r="AP7" s="2176"/>
      <c r="AQ7" s="2176"/>
      <c r="AR7" s="2176"/>
      <c r="AS7" s="2176"/>
      <c r="AT7" s="2176"/>
      <c r="AU7" s="2176"/>
      <c r="AV7" s="2176"/>
      <c r="AW7" s="2176"/>
      <c r="AX7" s="2176"/>
      <c r="AY7" s="2176"/>
      <c r="AZ7" s="2176"/>
      <c r="BA7" s="2176"/>
      <c r="BB7" s="2177"/>
      <c r="BC7" s="1303"/>
      <c r="BE7" s="425"/>
      <c r="BF7" s="425" t="str">
        <f t="shared" si="0"/>
        <v/>
      </c>
      <c r="BG7" s="425"/>
      <c r="BH7" s="425"/>
    </row>
    <row r="8" spans="1:60" ht="11.25" hidden="1" customHeight="1">
      <c r="A8" s="1281"/>
      <c r="B8" s="1281"/>
      <c r="C8" s="1281"/>
      <c r="D8" s="1281"/>
      <c r="E8" s="2147"/>
      <c r="F8" s="2147"/>
      <c r="G8" s="2147"/>
      <c r="H8" s="2147"/>
      <c r="I8" s="2149"/>
      <c r="J8" s="2149"/>
      <c r="K8" s="2148" t="e">
        <f>S4&amp;".1"</f>
        <v>#N/A</v>
      </c>
      <c r="L8" s="1282"/>
      <c r="P8" s="2150"/>
      <c r="Q8" s="2150"/>
      <c r="R8" s="2199">
        <v>1</v>
      </c>
      <c r="S8" s="2196" t="e">
        <f>$K8</f>
        <v>#N/A</v>
      </c>
      <c r="T8" s="2215"/>
      <c r="U8" s="217"/>
      <c r="V8" s="668"/>
      <c r="W8" s="1178"/>
      <c r="X8" s="668"/>
      <c r="Y8" s="1178"/>
      <c r="Z8" s="1646"/>
      <c r="AA8" s="1374" t="s">
        <v>50</v>
      </c>
      <c r="AB8" s="1646"/>
      <c r="AC8" s="1374" t="s">
        <v>50</v>
      </c>
      <c r="AD8" s="2089" t="s">
        <v>50</v>
      </c>
      <c r="AE8" s="2192"/>
      <c r="AF8" s="2102">
        <v>1</v>
      </c>
      <c r="AG8" s="2214"/>
      <c r="AH8" s="2029" t="s">
        <v>50</v>
      </c>
      <c r="AI8" s="2192"/>
      <c r="AJ8" s="2102">
        <v>1</v>
      </c>
      <c r="AK8" s="2213" t="s">
        <v>18</v>
      </c>
      <c r="AL8" s="2029" t="s">
        <v>50</v>
      </c>
      <c r="AM8" s="2077"/>
      <c r="AN8" s="2102">
        <v>1</v>
      </c>
      <c r="AO8" s="2218"/>
      <c r="AP8" s="2219" t="s">
        <v>50</v>
      </c>
      <c r="AQ8" s="230"/>
      <c r="AR8" s="1377">
        <v>1</v>
      </c>
      <c r="AS8" s="1380" t="s">
        <v>18</v>
      </c>
      <c r="AT8" s="668"/>
      <c r="AU8" s="1178"/>
      <c r="AV8" s="668"/>
      <c r="AW8" s="1178"/>
      <c r="AX8" s="1646"/>
      <c r="AY8" s="1374" t="s">
        <v>50</v>
      </c>
      <c r="AZ8" s="1646"/>
      <c r="BA8" s="1374" t="s">
        <v>50</v>
      </c>
      <c r="BB8" s="1267"/>
      <c r="BC8" s="2169" t="s">
        <v>469</v>
      </c>
      <c r="BE8" s="425"/>
      <c r="BF8" s="425" t="str">
        <f t="shared" si="0"/>
        <v/>
      </c>
      <c r="BG8" s="425"/>
      <c r="BH8" s="425"/>
    </row>
    <row r="9" spans="1:60" ht="11.25" hidden="1" customHeight="1">
      <c r="A9" s="1281"/>
      <c r="B9" s="1281"/>
      <c r="C9" s="1281"/>
      <c r="D9" s="1281"/>
      <c r="E9" s="2147"/>
      <c r="F9" s="2147"/>
      <c r="G9" s="2147"/>
      <c r="H9" s="2147"/>
      <c r="I9" s="2149"/>
      <c r="J9" s="2149"/>
      <c r="K9" s="2148"/>
      <c r="L9" s="1282"/>
      <c r="P9" s="2150"/>
      <c r="Q9" s="2150"/>
      <c r="R9" s="2199"/>
      <c r="S9" s="2197"/>
      <c r="T9" s="2216"/>
      <c r="U9" s="217"/>
      <c r="V9" s="1311"/>
      <c r="W9" s="1408"/>
      <c r="X9" s="1311"/>
      <c r="Y9" s="1408"/>
      <c r="Z9" s="1311"/>
      <c r="AA9" s="1311"/>
      <c r="AB9" s="1311"/>
      <c r="AC9" s="1311"/>
      <c r="AD9" s="2090"/>
      <c r="AE9" s="2192"/>
      <c r="AF9" s="2102"/>
      <c r="AG9" s="2214"/>
      <c r="AH9" s="2029"/>
      <c r="AI9" s="2192"/>
      <c r="AJ9" s="2102"/>
      <c r="AK9" s="2213"/>
      <c r="AL9" s="2029"/>
      <c r="AM9" s="2082"/>
      <c r="AN9" s="2102"/>
      <c r="AO9" s="2218"/>
      <c r="AP9" s="2220"/>
      <c r="AQ9" s="237"/>
      <c r="AR9" s="349"/>
      <c r="AS9" s="349" t="s">
        <v>470</v>
      </c>
      <c r="AT9" s="1311"/>
      <c r="AU9" s="1408"/>
      <c r="AV9" s="1311"/>
      <c r="AW9" s="1408"/>
      <c r="AX9" s="1311"/>
      <c r="AY9" s="1311"/>
      <c r="AZ9" s="1311"/>
      <c r="BA9" s="1311"/>
      <c r="BB9" s="1315"/>
      <c r="BC9" s="2170"/>
      <c r="BE9" s="425"/>
      <c r="BF9" s="425"/>
      <c r="BG9" s="425"/>
      <c r="BH9" s="425"/>
    </row>
    <row r="10" spans="1:60" ht="11.25" hidden="1" customHeight="1">
      <c r="A10" s="1281"/>
      <c r="B10" s="1281"/>
      <c r="C10" s="1281"/>
      <c r="D10" s="1281"/>
      <c r="E10" s="2147"/>
      <c r="F10" s="2147"/>
      <c r="G10" s="2147"/>
      <c r="H10" s="2147"/>
      <c r="I10" s="2149"/>
      <c r="J10" s="2149"/>
      <c r="K10" s="2148"/>
      <c r="L10" s="1282"/>
      <c r="P10" s="2150"/>
      <c r="Q10" s="2150"/>
      <c r="R10" s="2199"/>
      <c r="S10" s="2197"/>
      <c r="T10" s="2216"/>
      <c r="U10" s="217"/>
      <c r="V10" s="1311"/>
      <c r="W10" s="1408"/>
      <c r="X10" s="1311"/>
      <c r="Y10" s="1408"/>
      <c r="Z10" s="1311"/>
      <c r="AA10" s="1311"/>
      <c r="AB10" s="1311"/>
      <c r="AC10" s="1311"/>
      <c r="AD10" s="2090"/>
      <c r="AE10" s="2192"/>
      <c r="AF10" s="2102"/>
      <c r="AG10" s="2214"/>
      <c r="AH10" s="2029"/>
      <c r="AI10" s="2192"/>
      <c r="AJ10" s="2102"/>
      <c r="AK10" s="2213"/>
      <c r="AL10" s="2029"/>
      <c r="AM10" s="237"/>
      <c r="AN10" s="1412"/>
      <c r="AO10" s="1412" t="s">
        <v>471</v>
      </c>
      <c r="AP10" s="349"/>
      <c r="AQ10" s="349"/>
      <c r="AR10" s="349"/>
      <c r="AS10" s="1311"/>
      <c r="AT10" s="1311"/>
      <c r="AU10" s="1408"/>
      <c r="AV10" s="1311"/>
      <c r="AW10" s="1408"/>
      <c r="AX10" s="1311"/>
      <c r="AY10" s="1311"/>
      <c r="AZ10" s="1311"/>
      <c r="BA10" s="1311"/>
      <c r="BB10" s="1315"/>
      <c r="BC10" s="2170"/>
      <c r="BE10" s="425"/>
      <c r="BF10" s="425"/>
      <c r="BG10" s="425"/>
      <c r="BH10" s="425"/>
    </row>
    <row r="11" spans="1:60" ht="11.25" hidden="1" customHeight="1">
      <c r="A11" s="1281"/>
      <c r="B11" s="1281"/>
      <c r="C11" s="1281"/>
      <c r="D11" s="1281"/>
      <c r="E11" s="2147"/>
      <c r="F11" s="2147"/>
      <c r="G11" s="2147"/>
      <c r="H11" s="2147"/>
      <c r="I11" s="2149"/>
      <c r="J11" s="2149"/>
      <c r="K11" s="2148"/>
      <c r="L11" s="1282"/>
      <c r="P11" s="2150"/>
      <c r="Q11" s="2150"/>
      <c r="R11" s="2199"/>
      <c r="S11" s="2197"/>
      <c r="T11" s="2216"/>
      <c r="U11" s="217"/>
      <c r="V11" s="1311"/>
      <c r="W11" s="1408"/>
      <c r="X11" s="1311"/>
      <c r="Y11" s="1408"/>
      <c r="Z11" s="1311"/>
      <c r="AA11" s="1311"/>
      <c r="AB11" s="1311"/>
      <c r="AC11" s="1311"/>
      <c r="AD11" s="2090"/>
      <c r="AE11" s="2192"/>
      <c r="AF11" s="2102"/>
      <c r="AG11" s="2214"/>
      <c r="AH11" s="2029"/>
      <c r="AI11" s="211"/>
      <c r="AJ11" s="348"/>
      <c r="AK11" s="232" t="s">
        <v>472</v>
      </c>
      <c r="AL11" s="1311"/>
      <c r="AM11" s="1311"/>
      <c r="AN11" s="1311"/>
      <c r="AO11" s="1311"/>
      <c r="AP11" s="1311"/>
      <c r="AQ11" s="1311"/>
      <c r="AR11" s="1311"/>
      <c r="AS11" s="1311"/>
      <c r="AT11" s="1311"/>
      <c r="AU11" s="1408"/>
      <c r="AV11" s="1311"/>
      <c r="AW11" s="1408"/>
      <c r="AX11" s="1311"/>
      <c r="AY11" s="1311"/>
      <c r="AZ11" s="1311"/>
      <c r="BA11" s="1311"/>
      <c r="BB11" s="1315"/>
      <c r="BC11" s="2170"/>
      <c r="BE11" s="425"/>
      <c r="BF11" s="425"/>
      <c r="BG11" s="425"/>
      <c r="BH11" s="425"/>
    </row>
    <row r="12" spans="1:60" ht="11.25" hidden="1" customHeight="1">
      <c r="A12" s="1281"/>
      <c r="B12" s="1281"/>
      <c r="C12" s="1281"/>
      <c r="D12" s="1281"/>
      <c r="E12" s="2147"/>
      <c r="F12" s="2147"/>
      <c r="G12" s="2147"/>
      <c r="H12" s="2147"/>
      <c r="I12" s="2149"/>
      <c r="J12" s="2149"/>
      <c r="K12" s="2148"/>
      <c r="L12" s="1282"/>
      <c r="P12" s="2150"/>
      <c r="Q12" s="2150"/>
      <c r="R12" s="2199"/>
      <c r="S12" s="2198"/>
      <c r="T12" s="2217"/>
      <c r="U12" s="217"/>
      <c r="V12" s="1311"/>
      <c r="W12" s="1312" t="str">
        <f>Z8&amp;"-"&amp;AB8</f>
        <v>-</v>
      </c>
      <c r="X12" s="1311"/>
      <c r="Y12" s="1312" t="str">
        <f>AB8&amp;"-"&amp;AD8</f>
        <v>-да</v>
      </c>
      <c r="Z12" s="1311"/>
      <c r="AA12" s="1311"/>
      <c r="AB12" s="1311"/>
      <c r="AC12" s="1311"/>
      <c r="AD12" s="2034"/>
      <c r="AE12" s="231"/>
      <c r="AF12" s="233"/>
      <c r="AG12" s="349" t="s">
        <v>473</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170"/>
      <c r="BE12" s="425"/>
      <c r="BF12" s="425" t="str">
        <f t="shared" ref="BF12:BF18" si="1">IF(T12="","",T12)</f>
        <v/>
      </c>
      <c r="BG12" s="425"/>
      <c r="BH12" s="425"/>
    </row>
    <row r="13" spans="1:60" ht="11.25" hidden="1" customHeight="1">
      <c r="A13" s="1281"/>
      <c r="B13" s="1281"/>
      <c r="C13" s="1281"/>
      <c r="D13" s="1281"/>
      <c r="E13" s="2147"/>
      <c r="F13" s="2147"/>
      <c r="G13" s="2147"/>
      <c r="H13" s="2147"/>
      <c r="I13" s="2149"/>
      <c r="J13" s="2148"/>
      <c r="K13" s="1281"/>
      <c r="L13" s="1282"/>
      <c r="P13" s="2150"/>
      <c r="Q13" s="2150"/>
      <c r="R13" s="280"/>
      <c r="S13" s="1200"/>
      <c r="T13" s="204" t="s">
        <v>437</v>
      </c>
      <c r="U13" s="294"/>
      <c r="V13" s="294"/>
      <c r="W13" s="294"/>
      <c r="X13" s="294"/>
      <c r="Y13" s="294"/>
      <c r="Z13" s="294"/>
      <c r="AA13" s="294"/>
      <c r="AB13" s="294"/>
      <c r="AC13" s="294"/>
      <c r="AD13" s="1417"/>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48"/>
      <c r="BC13" s="2171"/>
      <c r="BE13" s="425"/>
      <c r="BF13" s="425" t="str">
        <f t="shared" si="1"/>
        <v>Добавить строку</v>
      </c>
      <c r="BG13" s="425"/>
      <c r="BH13" s="425"/>
    </row>
    <row r="14" spans="1:60" s="1811" customFormat="1" ht="14.25" hidden="1" customHeight="1">
      <c r="A14" s="1262"/>
      <c r="B14" s="1262"/>
      <c r="C14" s="1262"/>
      <c r="D14" s="1262"/>
      <c r="E14" s="2147"/>
      <c r="F14" s="2147"/>
      <c r="G14" s="2147"/>
      <c r="H14" s="2147"/>
      <c r="I14" s="2148"/>
      <c r="J14" s="1262"/>
      <c r="K14" s="1262"/>
      <c r="L14" s="1265"/>
      <c r="M14" s="435"/>
      <c r="N14" s="435"/>
      <c r="O14" s="435"/>
      <c r="P14" s="2150"/>
      <c r="Q14" s="1376"/>
      <c r="R14" s="280"/>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25"/>
      <c r="BF14" s="425" t="str">
        <f t="shared" si="1"/>
        <v/>
      </c>
      <c r="BG14" s="425"/>
      <c r="BH14" s="425"/>
    </row>
    <row r="15" spans="1:60" s="1811" customFormat="1" ht="14.25" hidden="1" customHeight="1">
      <c r="A15" s="1262"/>
      <c r="B15" s="1262"/>
      <c r="C15" s="1262"/>
      <c r="D15" s="1262"/>
      <c r="E15" s="2147"/>
      <c r="F15" s="2147"/>
      <c r="G15" s="2147"/>
      <c r="H15" s="2146"/>
      <c r="I15" s="1262"/>
      <c r="J15" s="1262"/>
      <c r="K15" s="1262"/>
      <c r="L15" s="1265"/>
      <c r="M15" s="1235"/>
      <c r="N15" s="1235"/>
      <c r="O15" s="443"/>
      <c r="P15" s="312"/>
      <c r="Q15" s="1263"/>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25"/>
      <c r="BF15" s="425" t="str">
        <f t="shared" si="1"/>
        <v/>
      </c>
      <c r="BG15" s="425"/>
      <c r="BH15" s="425"/>
    </row>
    <row r="16" spans="1:60" s="1881" customFormat="1" ht="14.25" hidden="1" customHeight="1">
      <c r="A16" s="1262"/>
      <c r="B16" s="1262"/>
      <c r="C16" s="1262"/>
      <c r="D16" s="1234"/>
      <c r="E16" s="2147"/>
      <c r="F16" s="2147"/>
      <c r="G16" s="2146"/>
      <c r="H16" s="1234"/>
      <c r="I16" s="1234"/>
      <c r="J16" s="1234"/>
      <c r="K16" s="1234"/>
      <c r="L16" s="1378"/>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07"/>
      <c r="BF16" s="707" t="str">
        <f t="shared" si="1"/>
        <v/>
      </c>
      <c r="BG16" s="707"/>
      <c r="BH16" s="707"/>
    </row>
    <row r="17" spans="1:60" s="1881" customFormat="1" ht="14.25" hidden="1" customHeight="1">
      <c r="A17" s="1262"/>
      <c r="B17" s="1262"/>
      <c r="C17" s="1234"/>
      <c r="D17" s="1234"/>
      <c r="E17" s="2147"/>
      <c r="F17" s="2146"/>
      <c r="G17" s="1234"/>
      <c r="H17" s="1234"/>
      <c r="I17" s="1234"/>
      <c r="J17" s="1234"/>
      <c r="K17" s="1234"/>
      <c r="L17" s="1378"/>
      <c r="M17" s="1241"/>
      <c r="N17" s="1241"/>
      <c r="P17" s="1236"/>
      <c r="Q17" s="1237"/>
      <c r="R17" s="1236"/>
      <c r="S17" s="1242"/>
      <c r="T17" s="1245" t="s">
        <v>385</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07"/>
      <c r="BF17" s="707" t="str">
        <f t="shared" si="1"/>
        <v>Добавить централизованную систему для дифференциации</v>
      </c>
      <c r="BG17" s="707"/>
      <c r="BH17" s="707"/>
    </row>
    <row r="18" spans="1:60" s="1811" customFormat="1" ht="14.25" hidden="1" customHeight="1">
      <c r="A18" s="1262"/>
      <c r="B18" s="1262"/>
      <c r="C18" s="1262"/>
      <c r="D18" s="1262"/>
      <c r="E18" s="2146"/>
      <c r="F18" s="1262"/>
      <c r="G18" s="1262"/>
      <c r="H18" s="1262"/>
      <c r="I18" s="1262"/>
      <c r="J18" s="1262"/>
      <c r="K18" s="1262"/>
      <c r="L18" s="1265"/>
      <c r="M18" s="1241"/>
      <c r="N18" s="1241"/>
      <c r="O18" s="443"/>
      <c r="P18" s="312"/>
      <c r="Q18" s="1263"/>
      <c r="R18" s="312"/>
      <c r="S18" s="1242"/>
      <c r="T18" s="1245" t="s">
        <v>386</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25"/>
      <c r="BF18" s="425" t="str">
        <f t="shared" si="1"/>
        <v>Добавить территорию для дифференциации</v>
      </c>
      <c r="BG18" s="425"/>
      <c r="BH18" s="425"/>
    </row>
    <row r="19" spans="1:60" ht="14.25" hidden="1" customHeight="1">
      <c r="AC19" s="252"/>
      <c r="BA19" s="252"/>
    </row>
    <row r="20" spans="1:60" ht="14.25" hidden="1" customHeight="1">
      <c r="AD20" s="1244" t="s">
        <v>48</v>
      </c>
      <c r="AE20" s="1413"/>
      <c r="AF20" s="472">
        <v>1</v>
      </c>
      <c r="AG20" s="1414"/>
      <c r="AH20" s="1244" t="s">
        <v>48</v>
      </c>
      <c r="AI20" s="1413"/>
      <c r="AJ20" s="472">
        <v>1</v>
      </c>
      <c r="AK20" s="1414"/>
      <c r="AL20" s="1244" t="s">
        <v>48</v>
      </c>
      <c r="AM20" s="1415"/>
      <c r="AN20" s="472">
        <v>1</v>
      </c>
      <c r="AO20" s="1416"/>
      <c r="AP20" s="1244" t="s">
        <v>48</v>
      </c>
      <c r="AQ20" s="1415"/>
      <c r="AR20" s="472">
        <v>1</v>
      </c>
      <c r="AS20" s="1416"/>
      <c r="AT20" s="249"/>
      <c r="AU20" s="317"/>
      <c r="AV20" s="249"/>
      <c r="AW20" s="317"/>
      <c r="AX20" s="1648"/>
      <c r="AY20" s="1375" t="s">
        <v>50</v>
      </c>
      <c r="AZ20" s="1648"/>
      <c r="BA20" s="1375" t="s">
        <v>50</v>
      </c>
    </row>
    <row r="21" spans="1:60" ht="14.25" hidden="1" customHeight="1">
      <c r="BD21" s="421"/>
      <c r="BE21" s="421"/>
      <c r="BF21" s="421"/>
      <c r="BG21" s="421"/>
      <c r="BH21" s="421"/>
    </row>
    <row r="22" spans="1:60" ht="14.25" hidden="1" customHeight="1">
      <c r="O22" s="1285" t="s">
        <v>387</v>
      </c>
      <c r="Z22" s="1264"/>
      <c r="AB22" s="1264"/>
      <c r="AC22" s="252"/>
      <c r="AX22" s="1264"/>
      <c r="AZ22" s="1264"/>
      <c r="BA22" s="252"/>
      <c r="BD22" s="421"/>
      <c r="BE22" s="421"/>
      <c r="BF22" s="421"/>
      <c r="BG22" s="421"/>
      <c r="BH22" s="421"/>
    </row>
    <row r="23" spans="1:60" ht="14.25" hidden="1" customHeight="1">
      <c r="AC23" s="252"/>
      <c r="BA23" s="252"/>
      <c r="BD23" s="421"/>
      <c r="BE23" s="421"/>
      <c r="BF23" s="421"/>
      <c r="BG23" s="421"/>
      <c r="BH23" s="421"/>
    </row>
    <row r="24" spans="1:60" s="1895" customFormat="1" ht="14.25" hidden="1" customHeight="1">
      <c r="M24" s="1420"/>
      <c r="N24" s="1420"/>
      <c r="O24" s="1421" t="s">
        <v>388</v>
      </c>
      <c r="P24" s="1420"/>
      <c r="Q24" s="1422"/>
      <c r="R24" s="1422"/>
      <c r="AA24" s="1419" t="s">
        <v>390</v>
      </c>
      <c r="AC24" s="1419" t="s">
        <v>391</v>
      </c>
      <c r="AD24" s="1419" t="s">
        <v>438</v>
      </c>
      <c r="AH24" s="1419" t="s">
        <v>438</v>
      </c>
      <c r="AK24" s="1419" t="s">
        <v>474</v>
      </c>
      <c r="AL24" s="1419" t="s">
        <v>438</v>
      </c>
      <c r="AP24" s="1419" t="s">
        <v>438</v>
      </c>
      <c r="AY24" s="1419" t="s">
        <v>390</v>
      </c>
      <c r="BA24" s="1419" t="s">
        <v>391</v>
      </c>
      <c r="BD24" s="1423"/>
      <c r="BE24" s="1423"/>
      <c r="BF24" s="1423"/>
      <c r="BG24" s="1423"/>
      <c r="BH24" s="1423"/>
    </row>
    <row r="25" spans="1:60" ht="14.25" hidden="1" customHeight="1">
      <c r="O25" s="1282"/>
      <c r="BD25" s="421"/>
      <c r="BE25" s="421"/>
      <c r="BF25" s="421"/>
      <c r="BG25" s="421"/>
      <c r="BH25" s="421"/>
    </row>
    <row r="26" spans="1:60" ht="14.25" hidden="1" customHeight="1">
      <c r="O26" s="1282"/>
      <c r="BD26" s="421"/>
      <c r="BE26" s="421"/>
      <c r="BF26" s="421"/>
      <c r="BG26" s="421"/>
      <c r="BH26" s="421"/>
    </row>
    <row r="27" spans="1:60" ht="14.25" customHeight="1">
      <c r="Q27" s="208"/>
      <c r="R27" s="304"/>
      <c r="S27" s="1197"/>
      <c r="T27" s="289"/>
      <c r="U27" s="289"/>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row>
    <row r="28" spans="1:60" ht="14.25" customHeight="1">
      <c r="Q28" s="208"/>
      <c r="R28" s="304"/>
      <c r="S28" s="2127"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27"/>
      <c r="U28" s="2127"/>
      <c r="V28" s="2127"/>
      <c r="W28" s="2127"/>
      <c r="X28" s="2127"/>
      <c r="Y28" s="2127"/>
      <c r="Z28" s="2127"/>
      <c r="AA28" s="2127"/>
      <c r="AB28" s="2127"/>
      <c r="AC28" s="2127"/>
      <c r="AD28" s="2127"/>
      <c r="AE28" s="2127"/>
      <c r="AF28" s="2127"/>
      <c r="AG28" s="2127"/>
      <c r="AH28" s="2127"/>
      <c r="AI28" s="2127"/>
      <c r="AJ28" s="2127"/>
      <c r="AK28" s="2127"/>
      <c r="AL28" s="2127"/>
      <c r="AM28" s="2127"/>
      <c r="AN28" s="2127"/>
      <c r="AO28" s="2127"/>
      <c r="AP28" s="2127"/>
      <c r="AQ28" s="2127"/>
      <c r="AR28" s="2127"/>
      <c r="AS28" s="2127"/>
      <c r="AT28" s="2127"/>
      <c r="AU28" s="2127"/>
      <c r="AV28" s="2127"/>
      <c r="AW28" s="2127"/>
      <c r="AX28" s="2127"/>
      <c r="AY28" s="2127"/>
      <c r="AZ28" s="2127"/>
      <c r="BA28" s="1154"/>
    </row>
    <row r="29" spans="1:60" ht="14.25" customHeight="1">
      <c r="Q29" s="208"/>
      <c r="R29" s="304"/>
      <c r="S29" s="2098" t="str">
        <f>IF(org=0,"Не определено",org)</f>
        <v>ООО "Горводоканал"</v>
      </c>
      <c r="T29" s="2098"/>
      <c r="U29" s="2098"/>
      <c r="V29" s="2098"/>
      <c r="W29" s="2098"/>
      <c r="X29" s="2098"/>
      <c r="Y29" s="2098"/>
      <c r="Z29" s="2098"/>
      <c r="AA29" s="2098"/>
      <c r="AB29" s="2098"/>
      <c r="AC29" s="2098"/>
      <c r="AD29" s="2098"/>
      <c r="AE29" s="2098"/>
      <c r="AF29" s="2098"/>
      <c r="AG29" s="2098"/>
      <c r="AH29" s="2098"/>
      <c r="AI29" s="2098"/>
      <c r="AJ29" s="2098"/>
      <c r="AK29" s="2098"/>
      <c r="AL29" s="2098"/>
      <c r="AM29" s="2098"/>
      <c r="AN29" s="2098"/>
      <c r="AO29" s="2098"/>
      <c r="AP29" s="2098"/>
      <c r="AQ29" s="2098"/>
      <c r="AR29" s="2098"/>
      <c r="AS29" s="2098"/>
      <c r="AT29" s="2098"/>
      <c r="AU29" s="2098"/>
      <c r="AV29" s="2098"/>
      <c r="AW29" s="2098"/>
      <c r="AX29" s="2098"/>
      <c r="AY29" s="2098"/>
      <c r="AZ29" s="2098"/>
      <c r="BA29" s="1154"/>
    </row>
    <row r="30" spans="1:60" ht="14.25" hidden="1" customHeight="1">
      <c r="Q30" s="208"/>
      <c r="R30" s="304"/>
      <c r="S30" s="1197"/>
      <c r="T30" s="289"/>
      <c r="U30" s="289"/>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434"/>
    </row>
    <row r="31" spans="1:60" s="1887" customFormat="1" ht="25.5" hidden="1" customHeight="1">
      <c r="A31" s="1286"/>
      <c r="B31" s="1286"/>
      <c r="C31" s="1286"/>
      <c r="D31" s="1286"/>
      <c r="E31" s="1286"/>
      <c r="F31" s="1286"/>
      <c r="G31" s="1286"/>
      <c r="H31" s="1286"/>
      <c r="I31" s="1286"/>
      <c r="J31" s="1286"/>
      <c r="K31" s="1286"/>
      <c r="L31" s="1287"/>
      <c r="M31" s="1286"/>
      <c r="N31" s="1286"/>
      <c r="O31" s="1286"/>
      <c r="P31" s="1286"/>
      <c r="Q31" s="1286"/>
      <c r="S31" s="2137" t="s">
        <v>37</v>
      </c>
      <c r="T31" s="2137"/>
      <c r="U31" s="1290"/>
      <c r="V31" s="2139" t="str">
        <f>IF(TITLE_NAME_OR_PR_CHANGE="",IF(TITLE_NAME_OR_PR="","",TITLE_NAME_OR_PR),TITLE_NAME_OR_PR_CHANGE)</f>
        <v/>
      </c>
      <c r="W31" s="2139"/>
      <c r="X31" s="2139"/>
      <c r="Y31" s="2139"/>
      <c r="Z31" s="2139"/>
      <c r="AA31" s="2139"/>
      <c r="AB31" s="2139"/>
      <c r="AC31" s="251"/>
      <c r="AD31" s="2139" t="str">
        <f>IF(TITLE_NAME_OR_PR_CHANGE="",IF(TITLE_NAME_OR_PR="","",TITLE_NAME_OR_PR),TITLE_NAME_OR_PR_CHANGE)</f>
        <v/>
      </c>
      <c r="AE31" s="2139"/>
      <c r="AF31" s="2139"/>
      <c r="AG31" s="2139"/>
      <c r="AH31" s="2139"/>
      <c r="AI31" s="2139"/>
      <c r="AJ31" s="2139"/>
      <c r="AK31" s="2139"/>
      <c r="AL31" s="2139"/>
      <c r="AM31" s="2139"/>
      <c r="AN31" s="2139"/>
      <c r="AO31" s="2139"/>
      <c r="AP31" s="2139"/>
      <c r="AQ31" s="2139"/>
      <c r="AR31" s="2139"/>
      <c r="AS31" s="2139"/>
      <c r="AT31" s="2139"/>
      <c r="AU31" s="2139"/>
      <c r="AV31" s="2139"/>
      <c r="AW31" s="2139"/>
      <c r="AX31" s="2139"/>
      <c r="AY31" s="2139"/>
      <c r="AZ31" s="2139"/>
      <c r="BA31" s="251"/>
      <c r="BB31" s="251"/>
      <c r="BC31" s="198"/>
      <c r="BD31" s="295"/>
      <c r="BE31" s="295"/>
      <c r="BF31" s="295"/>
      <c r="BG31" s="295"/>
      <c r="BH31" s="295"/>
    </row>
    <row r="32" spans="1:60"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7" t="s">
        <v>393</v>
      </c>
      <c r="T32" s="2137"/>
      <c r="U32" s="1290"/>
      <c r="V32" s="2138" t="str">
        <f>IF(TITLE_DATE_PR_CHANGE="",IF(TITLE_DATE_PR="","",TITLE_DATE_PR),TITLE_DATE_PR_CHANGE)</f>
        <v/>
      </c>
      <c r="W32" s="2138"/>
      <c r="X32" s="2138"/>
      <c r="Y32" s="2138"/>
      <c r="Z32" s="2138"/>
      <c r="AA32" s="2138"/>
      <c r="AB32" s="2138"/>
      <c r="AC32" s="251"/>
      <c r="AD32" s="2138" t="str">
        <f>IF(TITLE_DATE_PR_CHANGE="",IF(TITLE_DATE_PR="","",TITLE_DATE_PR),TITLE_DATE_PR_CHANGE)</f>
        <v/>
      </c>
      <c r="AE32" s="2138"/>
      <c r="AF32" s="2138"/>
      <c r="AG32" s="2138"/>
      <c r="AH32" s="2138"/>
      <c r="AI32" s="2138"/>
      <c r="AJ32" s="2138"/>
      <c r="AK32" s="2138"/>
      <c r="AL32" s="2138"/>
      <c r="AM32" s="2138"/>
      <c r="AN32" s="2138"/>
      <c r="AO32" s="2138"/>
      <c r="AP32" s="2138"/>
      <c r="AQ32" s="2138"/>
      <c r="AR32" s="2138"/>
      <c r="AS32" s="2138"/>
      <c r="AT32" s="2138"/>
      <c r="AU32" s="2138"/>
      <c r="AV32" s="2138"/>
      <c r="AW32" s="2138"/>
      <c r="AX32" s="2138"/>
      <c r="AY32" s="2138"/>
      <c r="AZ32" s="2138"/>
      <c r="BA32" s="251"/>
      <c r="BB32" s="251"/>
      <c r="BC32" s="198"/>
      <c r="BD32" s="295"/>
      <c r="BE32" s="295"/>
      <c r="BF32" s="295"/>
      <c r="BG32" s="295"/>
      <c r="BH32" s="295"/>
    </row>
    <row r="33" spans="1:60"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7" t="s">
        <v>394</v>
      </c>
      <c r="T33" s="2137"/>
      <c r="U33" s="1290"/>
      <c r="V33" s="2139" t="str">
        <f>IF(TITLE_NUMBER_PR_CHANGE="",IF(TITLE_NUMBER_PR="","",TITLE_NUMBER_PR),TITLE_NUMBER_PR_CHANGE)</f>
        <v/>
      </c>
      <c r="W33" s="2139"/>
      <c r="X33" s="2139"/>
      <c r="Y33" s="2139"/>
      <c r="Z33" s="2139"/>
      <c r="AA33" s="2139"/>
      <c r="AB33" s="2139"/>
      <c r="AC33" s="251"/>
      <c r="AD33" s="2139" t="str">
        <f>IF(TITLE_NUMBER_PR_CHANGE="",IF(TITLE_NUMBER_PR="","",TITLE_NUMBER_PR),TITLE_NUMBER_PR_CHANGE)</f>
        <v/>
      </c>
      <c r="AE33" s="2139"/>
      <c r="AF33" s="2139"/>
      <c r="AG33" s="2139"/>
      <c r="AH33" s="2139"/>
      <c r="AI33" s="2139"/>
      <c r="AJ33" s="2139"/>
      <c r="AK33" s="2139"/>
      <c r="AL33" s="2139"/>
      <c r="AM33" s="2139"/>
      <c r="AN33" s="2139"/>
      <c r="AO33" s="2139"/>
      <c r="AP33" s="2139"/>
      <c r="AQ33" s="2139"/>
      <c r="AR33" s="2139"/>
      <c r="AS33" s="2139"/>
      <c r="AT33" s="2139"/>
      <c r="AU33" s="2139"/>
      <c r="AV33" s="2139"/>
      <c r="AW33" s="2139"/>
      <c r="AX33" s="2139"/>
      <c r="AY33" s="2139"/>
      <c r="AZ33" s="2139"/>
      <c r="BA33" s="251"/>
      <c r="BB33" s="251"/>
      <c r="BC33" s="198"/>
      <c r="BD33" s="295"/>
      <c r="BE33" s="295"/>
      <c r="BF33" s="295"/>
      <c r="BG33" s="295"/>
      <c r="BH33" s="295"/>
    </row>
    <row r="34" spans="1:60" s="1887" customFormat="1" ht="18.75" hidden="1" customHeight="1">
      <c r="A34" s="1286"/>
      <c r="B34" s="1286"/>
      <c r="C34" s="1286"/>
      <c r="D34" s="1286"/>
      <c r="E34" s="1286"/>
      <c r="F34" s="1286"/>
      <c r="G34" s="1286"/>
      <c r="H34" s="1286"/>
      <c r="I34" s="1286"/>
      <c r="J34" s="1286"/>
      <c r="K34" s="1286"/>
      <c r="L34" s="1287"/>
      <c r="M34" s="1286"/>
      <c r="N34" s="1286"/>
      <c r="O34" s="1286"/>
      <c r="P34" s="1286"/>
      <c r="Q34" s="1286"/>
      <c r="S34" s="2137" t="s">
        <v>38</v>
      </c>
      <c r="T34" s="2137"/>
      <c r="U34" s="1290"/>
      <c r="V34" s="2139" t="str">
        <f>IF(TITLE_IST_PUB_CHANGE="",IF(TITLE_IST_PUB="","",TITLE_IST_PUB),TITLE_IST_PUB_CHANGE)</f>
        <v/>
      </c>
      <c r="W34" s="2139"/>
      <c r="X34" s="2139"/>
      <c r="Y34" s="2139"/>
      <c r="Z34" s="2139"/>
      <c r="AA34" s="2139"/>
      <c r="AB34" s="2139"/>
      <c r="AC34" s="251"/>
      <c r="AD34" s="2139" t="str">
        <f>IF(TITLE_IST_PUB_CHANGE="",IF(TITLE_IST_PUB="","",TITLE_IST_PUB),TITLE_IST_PUB_CHANGE)</f>
        <v/>
      </c>
      <c r="AE34" s="2139"/>
      <c r="AF34" s="2139"/>
      <c r="AG34" s="2139"/>
      <c r="AH34" s="2139"/>
      <c r="AI34" s="2139"/>
      <c r="AJ34" s="2139"/>
      <c r="AK34" s="2139"/>
      <c r="AL34" s="2139"/>
      <c r="AM34" s="2139"/>
      <c r="AN34" s="2139"/>
      <c r="AO34" s="2139"/>
      <c r="AP34" s="2139"/>
      <c r="AQ34" s="2139"/>
      <c r="AR34" s="2139"/>
      <c r="AS34" s="2139"/>
      <c r="AT34" s="2139"/>
      <c r="AU34" s="2139"/>
      <c r="AV34" s="2139"/>
      <c r="AW34" s="2139"/>
      <c r="AX34" s="2139"/>
      <c r="AY34" s="2139"/>
      <c r="AZ34" s="2139"/>
      <c r="BA34" s="251"/>
      <c r="BB34" s="251"/>
      <c r="BC34" s="198"/>
      <c r="BD34" s="295"/>
      <c r="BE34" s="295"/>
      <c r="BF34" s="295"/>
      <c r="BG34" s="295"/>
      <c r="BH34" s="295"/>
    </row>
    <row r="35" spans="1:60" ht="14.25" hidden="1" customHeight="1">
      <c r="Q35" s="208"/>
      <c r="R35" s="304"/>
      <c r="S35" s="1197"/>
      <c r="T35" s="289"/>
      <c r="U35" s="289"/>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434"/>
    </row>
    <row r="36" spans="1:60" s="1887" customFormat="1" ht="18.75" hidden="1" customHeight="1">
      <c r="A36" s="1286"/>
      <c r="B36" s="1286"/>
      <c r="C36" s="1286"/>
      <c r="D36" s="1286"/>
      <c r="E36" s="1286"/>
      <c r="F36" s="1286"/>
      <c r="G36" s="1286"/>
      <c r="H36" s="1286"/>
      <c r="I36" s="1286"/>
      <c r="J36" s="1286"/>
      <c r="K36" s="1286"/>
      <c r="L36" s="1287"/>
      <c r="M36" s="1286"/>
      <c r="N36" s="1286"/>
      <c r="O36" s="1286"/>
      <c r="P36" s="1286"/>
      <c r="Q36" s="1286"/>
      <c r="S36" s="2137" t="s">
        <v>393</v>
      </c>
      <c r="T36" s="2137"/>
      <c r="U36" s="1290"/>
      <c r="V36" s="2138" t="str">
        <f>IF(TITLE_DATE_PR_CHANGE="",IF(TITLE_DATE_PR="","",TITLE_DATE_PR),TITLE_DATE_PR_CHANGE)</f>
        <v/>
      </c>
      <c r="W36" s="2138"/>
      <c r="X36" s="2138"/>
      <c r="Y36" s="2138"/>
      <c r="Z36" s="2138"/>
      <c r="AA36" s="2138"/>
      <c r="AB36" s="2138"/>
      <c r="AC36" s="251"/>
      <c r="AD36" s="2138" t="str">
        <f>IF(TITLE_DATE_PR_CHANGE="",IF(TITLE_DATE_PR="","",TITLE_DATE_PR),TITLE_DATE_PR_CHANGE)</f>
        <v/>
      </c>
      <c r="AE36" s="2138"/>
      <c r="AF36" s="2138"/>
      <c r="AG36" s="2138"/>
      <c r="AH36" s="2138"/>
      <c r="AI36" s="2138"/>
      <c r="AJ36" s="2138"/>
      <c r="AK36" s="2138"/>
      <c r="AL36" s="2138"/>
      <c r="AM36" s="2138"/>
      <c r="AN36" s="2138"/>
      <c r="AO36" s="2138"/>
      <c r="AP36" s="2138"/>
      <c r="AQ36" s="2138"/>
      <c r="AR36" s="2138"/>
      <c r="AS36" s="2138"/>
      <c r="AT36" s="2138"/>
      <c r="AU36" s="2138"/>
      <c r="AV36" s="2138"/>
      <c r="AW36" s="2138"/>
      <c r="AX36" s="2138"/>
      <c r="AY36" s="2138"/>
      <c r="AZ36" s="2138"/>
      <c r="BA36" s="251"/>
      <c r="BB36" s="251"/>
      <c r="BC36" s="198"/>
      <c r="BD36" s="295"/>
      <c r="BE36" s="295"/>
      <c r="BF36" s="295"/>
      <c r="BG36" s="295"/>
      <c r="BH36" s="295"/>
    </row>
    <row r="37" spans="1:60" s="1887" customFormat="1" ht="18.75" hidden="1" customHeight="1">
      <c r="A37" s="1286"/>
      <c r="B37" s="1286"/>
      <c r="C37" s="1286"/>
      <c r="D37" s="1286"/>
      <c r="E37" s="1286"/>
      <c r="F37" s="1286"/>
      <c r="G37" s="1286"/>
      <c r="H37" s="1286"/>
      <c r="I37" s="1286"/>
      <c r="J37" s="1286"/>
      <c r="K37" s="1286"/>
      <c r="L37" s="1287"/>
      <c r="M37" s="1286"/>
      <c r="N37" s="1286"/>
      <c r="O37" s="1286"/>
      <c r="P37" s="1286"/>
      <c r="Q37" s="1286"/>
      <c r="S37" s="2137" t="s">
        <v>394</v>
      </c>
      <c r="T37" s="2137"/>
      <c r="U37" s="1290"/>
      <c r="V37" s="2139" t="str">
        <f>IF(TITLE_NUMBER_PR_CHANGE="",IF(TITLE_NUMBER_PR="","",TITLE_NUMBER_PR),TITLE_NUMBER_PR_CHANGE)</f>
        <v/>
      </c>
      <c r="W37" s="2139"/>
      <c r="X37" s="2139"/>
      <c r="Y37" s="2139"/>
      <c r="Z37" s="2139"/>
      <c r="AA37" s="2139"/>
      <c r="AB37" s="2139"/>
      <c r="AC37" s="251"/>
      <c r="AD37" s="2139" t="str">
        <f>IF(TITLE_NUMBER_PR_CHANGE="",IF(TITLE_NUMBER_PR="","",TITLE_NUMBER_PR),TITLE_NUMBER_PR_CHANGE)</f>
        <v/>
      </c>
      <c r="AE37" s="2139"/>
      <c r="AF37" s="2139"/>
      <c r="AG37" s="2139"/>
      <c r="AH37" s="2139"/>
      <c r="AI37" s="2139"/>
      <c r="AJ37" s="2139"/>
      <c r="AK37" s="2139"/>
      <c r="AL37" s="2139"/>
      <c r="AM37" s="2139"/>
      <c r="AN37" s="2139"/>
      <c r="AO37" s="2139"/>
      <c r="AP37" s="2139"/>
      <c r="AQ37" s="2139"/>
      <c r="AR37" s="2139"/>
      <c r="AS37" s="2139"/>
      <c r="AT37" s="2139"/>
      <c r="AU37" s="2139"/>
      <c r="AV37" s="2139"/>
      <c r="AW37" s="2139"/>
      <c r="AX37" s="2139"/>
      <c r="AY37" s="2139"/>
      <c r="AZ37" s="2139"/>
      <c r="BA37" s="251"/>
      <c r="BB37" s="251"/>
      <c r="BC37" s="198"/>
      <c r="BD37" s="295"/>
      <c r="BE37" s="295"/>
      <c r="BF37" s="295"/>
      <c r="BG37" s="295"/>
      <c r="BH37" s="295"/>
    </row>
    <row r="38" spans="1:60" s="1887" customFormat="1" ht="0" hidden="1" customHeight="1">
      <c r="A38" s="1286"/>
      <c r="B38" s="1286"/>
      <c r="C38" s="1286"/>
      <c r="D38" s="1286"/>
      <c r="E38" s="1286"/>
      <c r="F38" s="1286"/>
      <c r="G38" s="1286"/>
      <c r="H38" s="1286"/>
      <c r="I38" s="1286"/>
      <c r="J38" s="1286"/>
      <c r="K38" s="1286"/>
      <c r="L38" s="1287"/>
      <c r="M38" s="1286"/>
      <c r="N38" s="1286"/>
      <c r="O38" s="1286"/>
      <c r="P38" s="1286"/>
      <c r="Q38" s="1286"/>
      <c r="S38" s="247"/>
      <c r="T38" s="247"/>
      <c r="U38" s="1369"/>
      <c r="V38" s="251"/>
      <c r="W38" s="251"/>
      <c r="X38" s="251"/>
      <c r="Y38" s="251"/>
      <c r="Z38" s="251"/>
      <c r="AA38" s="251"/>
      <c r="AB38" s="251"/>
      <c r="AC38" s="196" t="s">
        <v>397</v>
      </c>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196" t="s">
        <v>397</v>
      </c>
      <c r="BD38" s="295"/>
      <c r="BE38" s="295"/>
      <c r="BF38" s="295"/>
      <c r="BG38" s="295"/>
      <c r="BH38" s="295"/>
    </row>
    <row r="39" spans="1:60" ht="14.25" customHeight="1">
      <c r="Q39" s="208"/>
      <c r="R39" s="304"/>
      <c r="S39" s="1197"/>
      <c r="T39" s="289"/>
      <c r="U39" s="1155"/>
      <c r="V39" s="2158"/>
      <c r="W39" s="2158"/>
      <c r="X39" s="2158"/>
      <c r="Y39" s="2158"/>
      <c r="Z39" s="2158"/>
      <c r="AA39" s="2158"/>
      <c r="AB39" s="2158"/>
      <c r="AC39" s="2158"/>
      <c r="AD39" s="2158"/>
      <c r="AE39" s="2158"/>
      <c r="AF39" s="2158"/>
      <c r="AG39" s="2158"/>
      <c r="AH39" s="2158"/>
      <c r="AI39" s="2158"/>
      <c r="AJ39" s="2158"/>
      <c r="AK39" s="2158"/>
      <c r="AL39" s="2158"/>
      <c r="AM39" s="2158"/>
      <c r="AN39" s="2158"/>
      <c r="AO39" s="2158"/>
      <c r="AP39" s="2158"/>
      <c r="AQ39" s="2158"/>
      <c r="AR39" s="2158"/>
      <c r="AS39" s="2158"/>
      <c r="AT39" s="2158"/>
      <c r="AU39" s="2158"/>
      <c r="AV39" s="2158"/>
      <c r="AW39" s="2158"/>
      <c r="AX39" s="2158"/>
      <c r="AY39" s="2158"/>
      <c r="AZ39" s="2158"/>
      <c r="BA39" s="2158"/>
    </row>
    <row r="40" spans="1:60" ht="14.25" customHeight="1">
      <c r="Q40" s="208"/>
      <c r="R40" s="304"/>
      <c r="S40" s="2019" t="s">
        <v>268</v>
      </c>
      <c r="T40" s="2019"/>
      <c r="U40" s="2019"/>
      <c r="V40" s="2019"/>
      <c r="W40" s="2019"/>
      <c r="X40" s="2019"/>
      <c r="Y40" s="2019"/>
      <c r="Z40" s="2019"/>
      <c r="AA40" s="2019"/>
      <c r="AB40" s="2019"/>
      <c r="AC40" s="2019"/>
      <c r="AD40" s="2019"/>
      <c r="AE40" s="2019"/>
      <c r="AF40" s="2019"/>
      <c r="AG40" s="2019"/>
      <c r="AH40" s="2019"/>
      <c r="AI40" s="2019"/>
      <c r="AJ40" s="2019"/>
      <c r="AK40" s="2019"/>
      <c r="AL40" s="2019"/>
      <c r="AM40" s="2019"/>
      <c r="AN40" s="2019"/>
      <c r="AO40" s="2019"/>
      <c r="AP40" s="2019"/>
      <c r="AQ40" s="2019"/>
      <c r="AR40" s="2019"/>
      <c r="AS40" s="2019"/>
      <c r="AT40" s="2019"/>
      <c r="AU40" s="2019"/>
      <c r="AV40" s="2019"/>
      <c r="AW40" s="2019"/>
      <c r="AX40" s="2019"/>
      <c r="AY40" s="2019"/>
      <c r="AZ40" s="2019"/>
      <c r="BA40" s="2019"/>
      <c r="BB40" s="2019"/>
      <c r="BC40" s="2019" t="s">
        <v>269</v>
      </c>
    </row>
    <row r="41" spans="1:60" ht="14.25" customHeight="1">
      <c r="Q41" s="208"/>
      <c r="R41" s="304"/>
      <c r="S41" s="2159" t="s">
        <v>73</v>
      </c>
      <c r="T41" s="2107" t="s">
        <v>475</v>
      </c>
      <c r="U41" s="218"/>
      <c r="V41" s="2160" t="s">
        <v>399</v>
      </c>
      <c r="W41" s="2161"/>
      <c r="X41" s="2161"/>
      <c r="Y41" s="2161"/>
      <c r="Z41" s="2161"/>
      <c r="AA41" s="2161"/>
      <c r="AB41" s="2162"/>
      <c r="AC41" s="2163" t="s">
        <v>400</v>
      </c>
      <c r="AD41" s="2185" t="s">
        <v>476</v>
      </c>
      <c r="AE41" s="2174"/>
      <c r="AF41" s="2174"/>
      <c r="AG41" s="2186"/>
      <c r="AH41" s="2185" t="s">
        <v>477</v>
      </c>
      <c r="AI41" s="2174"/>
      <c r="AJ41" s="2174"/>
      <c r="AK41" s="2186"/>
      <c r="AL41" s="2185" t="s">
        <v>478</v>
      </c>
      <c r="AM41" s="2174"/>
      <c r="AN41" s="2174"/>
      <c r="AO41" s="2186"/>
      <c r="AP41" s="2185" t="s">
        <v>479</v>
      </c>
      <c r="AQ41" s="2174"/>
      <c r="AR41" s="2174"/>
      <c r="AS41" s="2186"/>
      <c r="AT41" s="2160" t="s">
        <v>399</v>
      </c>
      <c r="AU41" s="2161"/>
      <c r="AV41" s="2161"/>
      <c r="AW41" s="2161"/>
      <c r="AX41" s="2161"/>
      <c r="AY41" s="2161"/>
      <c r="AZ41" s="2162"/>
      <c r="BA41" s="2163" t="s">
        <v>400</v>
      </c>
      <c r="BB41" s="2166" t="s">
        <v>402</v>
      </c>
      <c r="BC41" s="2019"/>
    </row>
    <row r="42" spans="1:60" ht="33.75" customHeight="1">
      <c r="Q42" s="208"/>
      <c r="R42" s="304"/>
      <c r="S42" s="2159"/>
      <c r="T42" s="2107"/>
      <c r="U42" s="940"/>
      <c r="V42" s="2077" t="s">
        <v>480</v>
      </c>
      <c r="W42" s="2078"/>
      <c r="X42" s="2077" t="s">
        <v>481</v>
      </c>
      <c r="Y42" s="2078"/>
      <c r="Z42" s="2077" t="s">
        <v>482</v>
      </c>
      <c r="AA42" s="2179"/>
      <c r="AB42" s="2078"/>
      <c r="AC42" s="2164"/>
      <c r="AD42" s="2187"/>
      <c r="AE42" s="2188"/>
      <c r="AF42" s="2188"/>
      <c r="AG42" s="2200"/>
      <c r="AH42" s="2187"/>
      <c r="AI42" s="2188"/>
      <c r="AJ42" s="2188"/>
      <c r="AK42" s="2200"/>
      <c r="AL42" s="2187"/>
      <c r="AM42" s="2188"/>
      <c r="AN42" s="2188"/>
      <c r="AO42" s="2200"/>
      <c r="AP42" s="2187"/>
      <c r="AQ42" s="2188"/>
      <c r="AR42" s="2188"/>
      <c r="AS42" s="2200"/>
      <c r="AT42" s="2077" t="s">
        <v>480</v>
      </c>
      <c r="AU42" s="2078"/>
      <c r="AV42" s="2077" t="s">
        <v>481</v>
      </c>
      <c r="AW42" s="2078"/>
      <c r="AX42" s="2077" t="s">
        <v>482</v>
      </c>
      <c r="AY42" s="2179"/>
      <c r="AZ42" s="2078"/>
      <c r="BA42" s="2164"/>
      <c r="BB42" s="2167"/>
      <c r="BC42" s="2019"/>
    </row>
    <row r="43" spans="1:60" ht="14.25" customHeight="1">
      <c r="Q43" s="208"/>
      <c r="R43" s="304"/>
      <c r="S43" s="2159"/>
      <c r="T43" s="2107"/>
      <c r="U43" s="940"/>
      <c r="V43" s="2082"/>
      <c r="W43" s="2083"/>
      <c r="X43" s="2082"/>
      <c r="Y43" s="2083"/>
      <c r="Z43" s="2082"/>
      <c r="AA43" s="2180"/>
      <c r="AB43" s="2083"/>
      <c r="AC43" s="2164"/>
      <c r="AD43" s="2187"/>
      <c r="AE43" s="2188"/>
      <c r="AF43" s="2188"/>
      <c r="AG43" s="2200"/>
      <c r="AH43" s="2187"/>
      <c r="AI43" s="2188"/>
      <c r="AJ43" s="2188"/>
      <c r="AK43" s="2200"/>
      <c r="AL43" s="2187"/>
      <c r="AM43" s="2188"/>
      <c r="AN43" s="2188"/>
      <c r="AO43" s="2200"/>
      <c r="AP43" s="2187"/>
      <c r="AQ43" s="2188"/>
      <c r="AR43" s="2188"/>
      <c r="AS43" s="2200"/>
      <c r="AT43" s="2082"/>
      <c r="AU43" s="2083"/>
      <c r="AV43" s="2082"/>
      <c r="AW43" s="2083"/>
      <c r="AX43" s="2082"/>
      <c r="AY43" s="2180"/>
      <c r="AZ43" s="2083"/>
      <c r="BA43" s="2164"/>
      <c r="BB43" s="2167"/>
      <c r="BC43" s="2019"/>
    </row>
    <row r="44" spans="1:60" ht="14.25" customHeight="1">
      <c r="A44" s="1288"/>
      <c r="B44" s="1288" t="s">
        <v>117</v>
      </c>
      <c r="C44" s="1288" t="s">
        <v>118</v>
      </c>
      <c r="D44" s="1288" t="s">
        <v>119</v>
      </c>
      <c r="E44" s="1282" t="s">
        <v>407</v>
      </c>
      <c r="F44" s="1282" t="s">
        <v>408</v>
      </c>
      <c r="G44" s="1282" t="s">
        <v>409</v>
      </c>
      <c r="H44" s="1282" t="s">
        <v>410</v>
      </c>
      <c r="I44" s="1282" t="s">
        <v>411</v>
      </c>
      <c r="J44" s="1282" t="s">
        <v>412</v>
      </c>
      <c r="K44" s="1282" t="s">
        <v>413</v>
      </c>
      <c r="L44" s="1282" t="s">
        <v>388</v>
      </c>
      <c r="Q44" s="208"/>
      <c r="R44" s="304"/>
      <c r="S44" s="2159"/>
      <c r="T44" s="2107"/>
      <c r="U44" s="219"/>
      <c r="V44" s="1363" t="s">
        <v>448</v>
      </c>
      <c r="W44" s="1363" t="s">
        <v>449</v>
      </c>
      <c r="X44" s="1363" t="s">
        <v>448</v>
      </c>
      <c r="Y44" s="1363" t="s">
        <v>449</v>
      </c>
      <c r="Z44" s="1370" t="s">
        <v>416</v>
      </c>
      <c r="AA44" s="2112" t="s">
        <v>417</v>
      </c>
      <c r="AB44" s="2126"/>
      <c r="AC44" s="2165"/>
      <c r="AD44" s="2189"/>
      <c r="AE44" s="2190"/>
      <c r="AF44" s="2190"/>
      <c r="AG44" s="2191"/>
      <c r="AH44" s="2189"/>
      <c r="AI44" s="2190"/>
      <c r="AJ44" s="2190"/>
      <c r="AK44" s="2191"/>
      <c r="AL44" s="2189"/>
      <c r="AM44" s="2190"/>
      <c r="AN44" s="2190"/>
      <c r="AO44" s="2191"/>
      <c r="AP44" s="2189"/>
      <c r="AQ44" s="2190"/>
      <c r="AR44" s="2190"/>
      <c r="AS44" s="2191"/>
      <c r="AT44" s="1363" t="s">
        <v>448</v>
      </c>
      <c r="AU44" s="1363" t="s">
        <v>449</v>
      </c>
      <c r="AV44" s="1363" t="s">
        <v>448</v>
      </c>
      <c r="AW44" s="1363" t="s">
        <v>449</v>
      </c>
      <c r="AX44" s="1370" t="s">
        <v>416</v>
      </c>
      <c r="AY44" s="2112" t="s">
        <v>417</v>
      </c>
      <c r="AZ44" s="2126"/>
      <c r="BA44" s="2165"/>
      <c r="BB44" s="2168"/>
      <c r="BC44" s="2019"/>
    </row>
    <row r="45" spans="1:60" s="1810" customFormat="1" ht="11.25" hidden="1" customHeight="1">
      <c r="A45" s="1288"/>
      <c r="B45" s="1288"/>
      <c r="C45" s="1288"/>
      <c r="D45" s="1288"/>
      <c r="E45" s="1288"/>
      <c r="F45" s="1288"/>
      <c r="G45" s="1288"/>
      <c r="H45" s="1288"/>
      <c r="I45" s="1288"/>
      <c r="J45" s="1288"/>
      <c r="K45" s="1288"/>
      <c r="L45" s="1282"/>
      <c r="M45" s="1280"/>
      <c r="N45" s="1280"/>
      <c r="O45" s="1280"/>
      <c r="P45" s="435"/>
      <c r="Q45" s="1173"/>
      <c r="R45" s="1173">
        <v>1</v>
      </c>
      <c r="S45" s="1199" t="s">
        <v>91</v>
      </c>
      <c r="T45" s="1174" t="s">
        <v>92</v>
      </c>
      <c r="U45" s="1156" t="str">
        <f ca="1">OFFSET(U45,0,-1)</f>
        <v>2</v>
      </c>
      <c r="V45" s="1366">
        <f t="shared" ref="V45:AA45" ca="1" si="2">OFFSET(V45,0,-1)+1</f>
        <v>3</v>
      </c>
      <c r="W45" s="1366">
        <f t="shared" ca="1" si="2"/>
        <v>4</v>
      </c>
      <c r="X45" s="1366">
        <f t="shared" ca="1" si="2"/>
        <v>5</v>
      </c>
      <c r="Y45" s="1366">
        <f t="shared" ca="1" si="2"/>
        <v>6</v>
      </c>
      <c r="Z45" s="1366">
        <f t="shared" ca="1" si="2"/>
        <v>7</v>
      </c>
      <c r="AA45" s="2157">
        <f t="shared" ca="1" si="2"/>
        <v>8</v>
      </c>
      <c r="AB45" s="2157"/>
      <c r="AC45" s="1366">
        <f ca="1">OFFSET(AC45,0,-2)+1</f>
        <v>9</v>
      </c>
      <c r="AD45" s="1366">
        <f ca="1">OFFSET(AD45,0,-1)+1</f>
        <v>10</v>
      </c>
      <c r="AE45" s="1366"/>
      <c r="AF45" s="1366"/>
      <c r="AG45" s="1366"/>
      <c r="AH45" s="1366"/>
      <c r="AI45" s="1366"/>
      <c r="AJ45" s="1366"/>
      <c r="AK45" s="1366"/>
      <c r="AL45" s="1366"/>
      <c r="AM45" s="1366"/>
      <c r="AN45" s="1366"/>
      <c r="AO45" s="1366"/>
      <c r="AP45" s="1366"/>
      <c r="AQ45" s="1366"/>
      <c r="AR45" s="1366"/>
      <c r="AS45" s="1366"/>
      <c r="AT45" s="1366"/>
      <c r="AU45" s="1366"/>
      <c r="AV45" s="1366"/>
      <c r="AW45" s="1366">
        <f ca="1">OFFSET(AW45,0,-1)+1</f>
        <v>1</v>
      </c>
      <c r="AX45" s="1366">
        <f ca="1">OFFSET(AX45,0,-1)+1</f>
        <v>2</v>
      </c>
      <c r="AY45" s="2157">
        <f ca="1">OFFSET(AY45,0,-1)+1</f>
        <v>3</v>
      </c>
      <c r="AZ45" s="2157"/>
      <c r="BA45" s="1366">
        <f ca="1">OFFSET(BA45,0,-2)+1</f>
        <v>4</v>
      </c>
      <c r="BB45" s="1156">
        <f ca="1">OFFSET(BB45,0,-1)</f>
        <v>4</v>
      </c>
      <c r="BC45" s="1366">
        <f ca="1">OFFSET(BC45,0,-1)+1</f>
        <v>5</v>
      </c>
      <c r="BD45" s="436"/>
      <c r="BE45" s="436"/>
      <c r="BF45" s="436"/>
      <c r="BG45" s="436"/>
      <c r="BH45" s="436"/>
    </row>
    <row r="46" spans="1:60" ht="21" customHeight="1">
      <c r="A46" s="1281" t="s">
        <v>214</v>
      </c>
      <c r="B46" s="1281"/>
      <c r="C46" s="1281"/>
      <c r="D46" s="1281"/>
      <c r="E46" s="2146">
        <v>1</v>
      </c>
      <c r="F46" s="1281"/>
      <c r="G46" s="1281"/>
      <c r="H46" s="1281"/>
      <c r="I46" s="1281"/>
      <c r="J46" s="1281"/>
      <c r="K46" s="1281"/>
      <c r="L46" s="1282"/>
      <c r="M46" s="1283"/>
      <c r="N46" s="1283"/>
      <c r="O46" s="1283"/>
      <c r="P46" s="1327"/>
      <c r="Q46" s="787"/>
      <c r="R46" s="279"/>
      <c r="S46" s="1372">
        <f>INDEX(PT_DIFFERENTIATION_NUM_NTAR,MATCH(A46,PT_DIFFERENTIATION_NTAR_ID,0))</f>
        <v>0</v>
      </c>
      <c r="T46" s="215" t="s">
        <v>105</v>
      </c>
      <c r="U46" s="217"/>
      <c r="V46" s="2141"/>
      <c r="W46" s="2141"/>
      <c r="X46" s="2141"/>
      <c r="Y46" s="2141"/>
      <c r="Z46" s="2141"/>
      <c r="AA46" s="2141"/>
      <c r="AB46" s="2141"/>
      <c r="AC46" s="2142"/>
      <c r="AD46" s="2140" t="str">
        <f>INDEX(PT_DIFFERENTIATION_NTAR,MATCH(A46,PT_DIFFERENTIATION_NTAR_ID,0))</f>
        <v/>
      </c>
      <c r="AE46" s="2141"/>
      <c r="AF46" s="2141"/>
      <c r="AG46" s="2141"/>
      <c r="AH46" s="2141"/>
      <c r="AI46" s="2141"/>
      <c r="AJ46" s="2141"/>
      <c r="AK46" s="2141"/>
      <c r="AL46" s="2141"/>
      <c r="AM46" s="2141"/>
      <c r="AN46" s="2141"/>
      <c r="AO46" s="2141"/>
      <c r="AP46" s="2141"/>
      <c r="AQ46" s="2141"/>
      <c r="AR46" s="2141"/>
      <c r="AS46" s="2141"/>
      <c r="AT46" s="2141"/>
      <c r="AU46" s="2141"/>
      <c r="AV46" s="2141"/>
      <c r="AW46" s="2141"/>
      <c r="AX46" s="2141"/>
      <c r="AY46" s="2141"/>
      <c r="AZ46" s="2141"/>
      <c r="BA46" s="2141"/>
      <c r="BB46" s="2142"/>
      <c r="BC46"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5"/>
      <c r="BF46" s="425" t="str">
        <f t="shared" ref="BF46:BF52" si="3">IF(T46="","",T46)</f>
        <v>Наименование тарифа</v>
      </c>
      <c r="BG46" s="425"/>
      <c r="BH46" s="425"/>
    </row>
    <row r="47" spans="1:60" ht="21" customHeight="1">
      <c r="A47" s="1281" t="s">
        <v>214</v>
      </c>
      <c r="B47" s="1281" t="s">
        <v>215</v>
      </c>
      <c r="C47" s="1281"/>
      <c r="D47" s="1281"/>
      <c r="E47" s="2147"/>
      <c r="F47" s="2146">
        <v>1</v>
      </c>
      <c r="G47" s="1281"/>
      <c r="H47" s="1281"/>
      <c r="I47" s="1281"/>
      <c r="J47" s="1281"/>
      <c r="K47" s="1281"/>
      <c r="L47" s="1282"/>
      <c r="M47" s="1283"/>
      <c r="N47" s="1283"/>
      <c r="O47" s="1283"/>
      <c r="P47" s="1328"/>
      <c r="Q47" s="1329"/>
      <c r="R47" s="277"/>
      <c r="S47" s="1372" t="str">
        <f>INDEX(PT_DIFFERENTIATION_NUM_TER,MATCH(B47,PT_DIFFERENTIATION_TER_ID,0))</f>
        <v>.</v>
      </c>
      <c r="T47" s="227" t="s">
        <v>367</v>
      </c>
      <c r="U47" s="217"/>
      <c r="V47" s="2141"/>
      <c r="W47" s="2141"/>
      <c r="X47" s="2141"/>
      <c r="Y47" s="2141"/>
      <c r="Z47" s="2141"/>
      <c r="AA47" s="2141"/>
      <c r="AB47" s="2141"/>
      <c r="AC47" s="2142"/>
      <c r="AD47" s="2140" t="str">
        <f>INDEX(PT_DIFFERENTIATION_TER,MATCH(B47,PT_DIFFERENTIATION_TER_ID,0))</f>
        <v/>
      </c>
      <c r="AE47" s="2141"/>
      <c r="AF47" s="2141"/>
      <c r="AG47" s="2141"/>
      <c r="AH47" s="2141"/>
      <c r="AI47" s="2141"/>
      <c r="AJ47" s="2141"/>
      <c r="AK47" s="2141"/>
      <c r="AL47" s="2141"/>
      <c r="AM47" s="2141"/>
      <c r="AN47" s="2141"/>
      <c r="AO47" s="2141"/>
      <c r="AP47" s="2141"/>
      <c r="AQ47" s="2141"/>
      <c r="AR47" s="2141"/>
      <c r="AS47" s="2141"/>
      <c r="AT47" s="2141"/>
      <c r="AU47" s="2141"/>
      <c r="AV47" s="2141"/>
      <c r="AW47" s="2141"/>
      <c r="AX47" s="2141"/>
      <c r="AY47" s="2141"/>
      <c r="AZ47" s="2141"/>
      <c r="BA47" s="2141"/>
      <c r="BB47" s="2142"/>
      <c r="BC47" s="1179" t="s">
        <v>368</v>
      </c>
      <c r="BE47" s="425"/>
      <c r="BF47" s="425" t="str">
        <f t="shared" si="3"/>
        <v>Территория действия тарифа</v>
      </c>
      <c r="BG47" s="425"/>
      <c r="BH47" s="425"/>
    </row>
    <row r="48" spans="1:60" ht="42" customHeight="1">
      <c r="A48" s="1281" t="s">
        <v>214</v>
      </c>
      <c r="B48" s="1281" t="s">
        <v>215</v>
      </c>
      <c r="C48" s="1281" t="s">
        <v>216</v>
      </c>
      <c r="D48" s="1281"/>
      <c r="E48" s="2147"/>
      <c r="F48" s="2147"/>
      <c r="G48" s="2146">
        <v>1</v>
      </c>
      <c r="H48" s="1281"/>
      <c r="I48" s="1281"/>
      <c r="J48" s="1281"/>
      <c r="K48" s="1281"/>
      <c r="L48" s="1282"/>
      <c r="M48" s="1283"/>
      <c r="N48" s="1283"/>
      <c r="O48" s="1283"/>
      <c r="P48" s="1330"/>
      <c r="Q48" s="1329"/>
      <c r="R48" s="277"/>
      <c r="S48" s="1372" t="str">
        <f>INDEX(PT_DIFFERENTIATION_NUM_CS,MATCH(C48,PT_DIFFERENTIATION_CS_ID,0))</f>
        <v>..</v>
      </c>
      <c r="T48" s="228" t="s">
        <v>451</v>
      </c>
      <c r="U48" s="217"/>
      <c r="V48" s="2141"/>
      <c r="W48" s="2141"/>
      <c r="X48" s="2141"/>
      <c r="Y48" s="2141"/>
      <c r="Z48" s="2141"/>
      <c r="AA48" s="2141"/>
      <c r="AB48" s="2141"/>
      <c r="AC48" s="2142"/>
      <c r="AD48" s="2140" t="str">
        <f>INDEX(PT_DIFFERENTIATION_CS,MATCH(C48,PT_DIFFERENTIATION_CS_ID,0))</f>
        <v/>
      </c>
      <c r="AE48" s="2141"/>
      <c r="AF48" s="2141"/>
      <c r="AG48" s="2141"/>
      <c r="AH48" s="2141"/>
      <c r="AI48" s="2141"/>
      <c r="AJ48" s="2141"/>
      <c r="AK48" s="2141"/>
      <c r="AL48" s="2141"/>
      <c r="AM48" s="2141"/>
      <c r="AN48" s="2141"/>
      <c r="AO48" s="2141"/>
      <c r="AP48" s="2141"/>
      <c r="AQ48" s="2141"/>
      <c r="AR48" s="2141"/>
      <c r="AS48" s="2141"/>
      <c r="AT48" s="2141"/>
      <c r="AU48" s="2141"/>
      <c r="AV48" s="2141"/>
      <c r="AW48" s="2141"/>
      <c r="AX48" s="2141"/>
      <c r="AY48" s="2141"/>
      <c r="AZ48" s="2141"/>
      <c r="BA48" s="2141"/>
      <c r="BB48" s="2142"/>
      <c r="BC48" s="1179" t="s">
        <v>452</v>
      </c>
      <c r="BE48" s="425"/>
      <c r="BF48" s="425" t="str">
        <f t="shared" si="3"/>
        <v>Наименование централизованной системы холодного водоснабжения</v>
      </c>
      <c r="BG48" s="425"/>
      <c r="BH48" s="425"/>
    </row>
    <row r="49" spans="1:60" s="1811" customFormat="1" ht="0" hidden="1" customHeight="1">
      <c r="A49" s="1262" t="s">
        <v>214</v>
      </c>
      <c r="B49" s="1262" t="s">
        <v>215</v>
      </c>
      <c r="C49" s="1262" t="s">
        <v>216</v>
      </c>
      <c r="D49" s="1262" t="s">
        <v>483</v>
      </c>
      <c r="E49" s="2147"/>
      <c r="F49" s="2147"/>
      <c r="G49" s="2147"/>
      <c r="H49" s="2146">
        <v>1</v>
      </c>
      <c r="I49" s="1262"/>
      <c r="J49" s="1262"/>
      <c r="K49" s="1262"/>
      <c r="L49" s="1265"/>
      <c r="M49" s="1235"/>
      <c r="N49" s="1235"/>
      <c r="O49" s="1235"/>
      <c r="P49" s="1409"/>
      <c r="Q49" s="1410"/>
      <c r="R49" s="281"/>
      <c r="S49" s="951"/>
      <c r="T49" s="1411"/>
      <c r="U49" s="1302"/>
      <c r="V49" s="2176"/>
      <c r="W49" s="2176"/>
      <c r="X49" s="2176"/>
      <c r="Y49" s="2176"/>
      <c r="Z49" s="2176"/>
      <c r="AA49" s="2176"/>
      <c r="AB49" s="2176"/>
      <c r="AC49" s="2177"/>
      <c r="AD49" s="2175"/>
      <c r="AE49" s="2176"/>
      <c r="AF49" s="2176"/>
      <c r="AG49" s="2176"/>
      <c r="AH49" s="2176"/>
      <c r="AI49" s="2176"/>
      <c r="AJ49" s="2176"/>
      <c r="AK49" s="2176"/>
      <c r="AL49" s="2176"/>
      <c r="AM49" s="2176"/>
      <c r="AN49" s="2176"/>
      <c r="AO49" s="2176"/>
      <c r="AP49" s="2176"/>
      <c r="AQ49" s="2176"/>
      <c r="AR49" s="2176"/>
      <c r="AS49" s="2176"/>
      <c r="AT49" s="2176"/>
      <c r="AU49" s="2176"/>
      <c r="AV49" s="2176"/>
      <c r="AW49" s="2176"/>
      <c r="AX49" s="2176"/>
      <c r="AY49" s="2176"/>
      <c r="AZ49" s="2176"/>
      <c r="BA49" s="2176"/>
      <c r="BB49" s="2177"/>
      <c r="BC49" s="1303" t="s">
        <v>372</v>
      </c>
      <c r="BE49" s="425"/>
      <c r="BF49" s="425" t="str">
        <f t="shared" si="3"/>
        <v/>
      </c>
      <c r="BG49" s="425"/>
      <c r="BH49" s="425"/>
    </row>
    <row r="50" spans="1:60" s="1811" customFormat="1" ht="0" hidden="1" customHeight="1">
      <c r="A50" s="1262" t="s">
        <v>214</v>
      </c>
      <c r="B50" s="1262" t="s">
        <v>215</v>
      </c>
      <c r="C50" s="1262" t="s">
        <v>216</v>
      </c>
      <c r="D50" s="1262" t="s">
        <v>483</v>
      </c>
      <c r="E50" s="2147"/>
      <c r="F50" s="2147"/>
      <c r="G50" s="2147"/>
      <c r="H50" s="2147"/>
      <c r="I50" s="2148" t="str">
        <f>S49&amp;".1"</f>
        <v>.1</v>
      </c>
      <c r="J50" s="1262"/>
      <c r="K50" s="1262"/>
      <c r="L50" s="1265" t="s">
        <v>373</v>
      </c>
      <c r="M50" s="435"/>
      <c r="N50" s="435"/>
      <c r="O50" s="435"/>
      <c r="P50" s="2150">
        <v>1</v>
      </c>
      <c r="Q50" s="1376"/>
      <c r="R50" s="280"/>
      <c r="S50" s="951"/>
      <c r="T50" s="1301"/>
      <c r="U50" s="1302"/>
      <c r="V50" s="2176"/>
      <c r="W50" s="2176"/>
      <c r="X50" s="2176"/>
      <c r="Y50" s="2176"/>
      <c r="Z50" s="2176"/>
      <c r="AA50" s="2176"/>
      <c r="AB50" s="2176"/>
      <c r="AC50" s="2177"/>
      <c r="AD50" s="2175"/>
      <c r="AE50" s="2176"/>
      <c r="AF50" s="2176"/>
      <c r="AG50" s="2176"/>
      <c r="AH50" s="2176"/>
      <c r="AI50" s="2176"/>
      <c r="AJ50" s="2176"/>
      <c r="AK50" s="2176"/>
      <c r="AL50" s="2176"/>
      <c r="AM50" s="2176"/>
      <c r="AN50" s="2176"/>
      <c r="AO50" s="2176"/>
      <c r="AP50" s="2176"/>
      <c r="AQ50" s="2176"/>
      <c r="AR50" s="2176"/>
      <c r="AS50" s="2176"/>
      <c r="AT50" s="2176"/>
      <c r="AU50" s="2176"/>
      <c r="AV50" s="2176"/>
      <c r="AW50" s="2176"/>
      <c r="AX50" s="2176"/>
      <c r="AY50" s="2176"/>
      <c r="AZ50" s="2176"/>
      <c r="BA50" s="2176"/>
      <c r="BB50" s="2177"/>
      <c r="BC50" s="1303"/>
      <c r="BE50" s="425"/>
      <c r="BF50" s="425" t="str">
        <f t="shared" si="3"/>
        <v/>
      </c>
      <c r="BG50" s="425"/>
      <c r="BH50" s="425"/>
    </row>
    <row r="51" spans="1:60" s="1811" customFormat="1" ht="0" hidden="1" customHeight="1">
      <c r="A51" s="1262" t="s">
        <v>214</v>
      </c>
      <c r="B51" s="1262" t="s">
        <v>215</v>
      </c>
      <c r="C51" s="1262" t="s">
        <v>216</v>
      </c>
      <c r="D51" s="1262" t="s">
        <v>483</v>
      </c>
      <c r="E51" s="2147"/>
      <c r="F51" s="2147"/>
      <c r="G51" s="2147"/>
      <c r="H51" s="2147"/>
      <c r="I51" s="2149"/>
      <c r="J51" s="2148" t="str">
        <f>S49&amp;".1"</f>
        <v>.1</v>
      </c>
      <c r="K51" s="1262"/>
      <c r="L51" s="1265"/>
      <c r="M51" s="435"/>
      <c r="N51" s="435"/>
      <c r="O51" s="435"/>
      <c r="P51" s="2150"/>
      <c r="Q51" s="2150">
        <v>1</v>
      </c>
      <c r="R51" s="281"/>
      <c r="S51" s="951"/>
      <c r="T51" s="1317"/>
      <c r="U51" s="1302"/>
      <c r="V51" s="2176"/>
      <c r="W51" s="2176"/>
      <c r="X51" s="2176"/>
      <c r="Y51" s="2176"/>
      <c r="Z51" s="2176"/>
      <c r="AA51" s="2176"/>
      <c r="AB51" s="2176"/>
      <c r="AC51" s="2177"/>
      <c r="AD51" s="2175"/>
      <c r="AE51" s="2176"/>
      <c r="AF51" s="2176"/>
      <c r="AG51" s="2176"/>
      <c r="AH51" s="2176"/>
      <c r="AI51" s="2176"/>
      <c r="AJ51" s="2176"/>
      <c r="AK51" s="2176"/>
      <c r="AL51" s="2176"/>
      <c r="AM51" s="2176"/>
      <c r="AN51" s="2221"/>
      <c r="AO51" s="2221"/>
      <c r="AP51" s="2176"/>
      <c r="AQ51" s="2176"/>
      <c r="AR51" s="2176"/>
      <c r="AS51" s="2176"/>
      <c r="AT51" s="2176"/>
      <c r="AU51" s="2176"/>
      <c r="AV51" s="2176"/>
      <c r="AW51" s="2176"/>
      <c r="AX51" s="2176"/>
      <c r="AY51" s="2176"/>
      <c r="AZ51" s="2176"/>
      <c r="BA51" s="2176"/>
      <c r="BB51" s="2177"/>
      <c r="BC51" s="1303"/>
      <c r="BE51" s="425"/>
      <c r="BF51" s="425" t="str">
        <f t="shared" si="3"/>
        <v/>
      </c>
      <c r="BG51" s="425"/>
      <c r="BH51" s="425"/>
    </row>
    <row r="52" spans="1:60" ht="11.25" customHeight="1">
      <c r="A52" s="1281" t="s">
        <v>214</v>
      </c>
      <c r="B52" s="1281" t="s">
        <v>215</v>
      </c>
      <c r="C52" s="1281" t="s">
        <v>216</v>
      </c>
      <c r="D52" s="1281" t="s">
        <v>483</v>
      </c>
      <c r="E52" s="2147"/>
      <c r="F52" s="2147"/>
      <c r="G52" s="2147"/>
      <c r="H52" s="2147"/>
      <c r="I52" s="2149"/>
      <c r="J52" s="2149"/>
      <c r="K52" s="2148" t="str">
        <f>S48&amp;".1"</f>
        <v>...1</v>
      </c>
      <c r="L52" s="1282"/>
      <c r="P52" s="2150"/>
      <c r="Q52" s="2150"/>
      <c r="R52" s="281">
        <v>1</v>
      </c>
      <c r="S52" s="2196" t="str">
        <f>$K52</f>
        <v>...1</v>
      </c>
      <c r="T52" s="2215"/>
      <c r="U52" s="217"/>
      <c r="V52" s="668"/>
      <c r="W52" s="1178"/>
      <c r="X52" s="668"/>
      <c r="Y52" s="1178"/>
      <c r="Z52" s="1646"/>
      <c r="AA52" s="1374" t="s">
        <v>50</v>
      </c>
      <c r="AB52" s="1646"/>
      <c r="AC52" s="1374" t="s">
        <v>50</v>
      </c>
      <c r="AD52" s="2089" t="s">
        <v>50</v>
      </c>
      <c r="AE52" s="2192"/>
      <c r="AF52" s="2102">
        <v>1</v>
      </c>
      <c r="AG52" s="2214"/>
      <c r="AH52" s="2029" t="s">
        <v>50</v>
      </c>
      <c r="AI52" s="2192"/>
      <c r="AJ52" s="2102">
        <v>1</v>
      </c>
      <c r="AK52" s="2213" t="s">
        <v>18</v>
      </c>
      <c r="AL52" s="2029" t="s">
        <v>50</v>
      </c>
      <c r="AM52" s="2077"/>
      <c r="AN52" s="2102">
        <v>1</v>
      </c>
      <c r="AO52" s="2218"/>
      <c r="AP52" s="2219" t="s">
        <v>50</v>
      </c>
      <c r="AQ52" s="230"/>
      <c r="AR52" s="1377">
        <v>1</v>
      </c>
      <c r="AS52" s="1380" t="s">
        <v>18</v>
      </c>
      <c r="AT52" s="668"/>
      <c r="AU52" s="1178"/>
      <c r="AV52" s="668"/>
      <c r="AW52" s="1178"/>
      <c r="AX52" s="1646"/>
      <c r="AY52" s="1374" t="s">
        <v>50</v>
      </c>
      <c r="AZ52" s="1646"/>
      <c r="BA52" s="1374" t="s">
        <v>50</v>
      </c>
      <c r="BB52" s="1267"/>
      <c r="BC52" s="2169" t="s">
        <v>469</v>
      </c>
      <c r="BE52" s="425"/>
      <c r="BF52" s="425" t="str">
        <f t="shared" si="3"/>
        <v/>
      </c>
      <c r="BG52" s="425"/>
      <c r="BH52" s="425"/>
    </row>
    <row r="53" spans="1:60" ht="11.25" customHeight="1">
      <c r="A53" s="1281"/>
      <c r="B53" s="1281"/>
      <c r="C53" s="1281"/>
      <c r="D53" s="1281"/>
      <c r="E53" s="2147"/>
      <c r="F53" s="2147"/>
      <c r="G53" s="2147"/>
      <c r="H53" s="2147"/>
      <c r="I53" s="2149"/>
      <c r="J53" s="2149"/>
      <c r="K53" s="2148"/>
      <c r="L53" s="1282"/>
      <c r="P53" s="2150"/>
      <c r="Q53" s="2150"/>
      <c r="R53" s="281"/>
      <c r="S53" s="2197"/>
      <c r="T53" s="2216"/>
      <c r="U53" s="217"/>
      <c r="V53" s="1311"/>
      <c r="W53" s="1408"/>
      <c r="X53" s="1311"/>
      <c r="Y53" s="1408"/>
      <c r="Z53" s="1311"/>
      <c r="AA53" s="1311"/>
      <c r="AB53" s="1311"/>
      <c r="AC53" s="1311"/>
      <c r="AD53" s="2090"/>
      <c r="AE53" s="2192"/>
      <c r="AF53" s="2102"/>
      <c r="AG53" s="2214"/>
      <c r="AH53" s="2029"/>
      <c r="AI53" s="2192"/>
      <c r="AJ53" s="2102"/>
      <c r="AK53" s="2213"/>
      <c r="AL53" s="2029"/>
      <c r="AM53" s="2082"/>
      <c r="AN53" s="2102"/>
      <c r="AO53" s="2218"/>
      <c r="AP53" s="2220"/>
      <c r="AQ53" s="237"/>
      <c r="AR53" s="349"/>
      <c r="AS53" s="349" t="s">
        <v>470</v>
      </c>
      <c r="AT53" s="1311"/>
      <c r="AU53" s="1408"/>
      <c r="AV53" s="1311"/>
      <c r="AW53" s="1408"/>
      <c r="AX53" s="1311"/>
      <c r="AY53" s="1311"/>
      <c r="AZ53" s="1311"/>
      <c r="BA53" s="1311"/>
      <c r="BB53" s="1315"/>
      <c r="BC53" s="2170"/>
      <c r="BE53" s="425"/>
      <c r="BF53" s="425"/>
      <c r="BG53" s="425"/>
      <c r="BH53" s="425"/>
    </row>
    <row r="54" spans="1:60" ht="11.25" customHeight="1">
      <c r="A54" s="1281" t="s">
        <v>214</v>
      </c>
      <c r="B54" s="1281"/>
      <c r="C54" s="1281"/>
      <c r="D54" s="1281"/>
      <c r="E54" s="2147"/>
      <c r="F54" s="2147"/>
      <c r="G54" s="2147"/>
      <c r="H54" s="2147"/>
      <c r="I54" s="2149"/>
      <c r="J54" s="2149"/>
      <c r="K54" s="2148"/>
      <c r="L54" s="1282"/>
      <c r="P54" s="2150"/>
      <c r="Q54" s="2150"/>
      <c r="R54" s="281"/>
      <c r="S54" s="2197"/>
      <c r="T54" s="2216"/>
      <c r="U54" s="217"/>
      <c r="V54" s="1311"/>
      <c r="W54" s="1408"/>
      <c r="X54" s="1311"/>
      <c r="Y54" s="1408"/>
      <c r="Z54" s="1311"/>
      <c r="AA54" s="1311"/>
      <c r="AB54" s="1311"/>
      <c r="AC54" s="1311"/>
      <c r="AD54" s="2090"/>
      <c r="AE54" s="2192"/>
      <c r="AF54" s="2102"/>
      <c r="AG54" s="2214"/>
      <c r="AH54" s="2029"/>
      <c r="AI54" s="2192"/>
      <c r="AJ54" s="2102"/>
      <c r="AK54" s="2213"/>
      <c r="AL54" s="2029"/>
      <c r="AM54" s="237"/>
      <c r="AN54" s="1412"/>
      <c r="AO54" s="1412" t="s">
        <v>471</v>
      </c>
      <c r="AP54" s="349"/>
      <c r="AQ54" s="349"/>
      <c r="AR54" s="349"/>
      <c r="AS54" s="1311"/>
      <c r="AT54" s="1311"/>
      <c r="AU54" s="1408"/>
      <c r="AV54" s="1311"/>
      <c r="AW54" s="1408"/>
      <c r="AX54" s="1311"/>
      <c r="AY54" s="1311"/>
      <c r="AZ54" s="1311"/>
      <c r="BA54" s="1311"/>
      <c r="BB54" s="1315"/>
      <c r="BC54" s="2170"/>
      <c r="BE54" s="425"/>
      <c r="BF54" s="425"/>
      <c r="BG54" s="425"/>
      <c r="BH54" s="425"/>
    </row>
    <row r="55" spans="1:60" ht="11.25" customHeight="1">
      <c r="A55" s="1281" t="s">
        <v>214</v>
      </c>
      <c r="B55" s="1281"/>
      <c r="C55" s="1281"/>
      <c r="D55" s="1281"/>
      <c r="E55" s="2147"/>
      <c r="F55" s="2147"/>
      <c r="G55" s="2147"/>
      <c r="H55" s="2147"/>
      <c r="I55" s="2149"/>
      <c r="J55" s="2149"/>
      <c r="K55" s="2148"/>
      <c r="L55" s="1282"/>
      <c r="P55" s="2150"/>
      <c r="Q55" s="2150"/>
      <c r="R55" s="281"/>
      <c r="S55" s="2197"/>
      <c r="T55" s="2216"/>
      <c r="U55" s="217"/>
      <c r="V55" s="1311"/>
      <c r="W55" s="1408"/>
      <c r="X55" s="1311"/>
      <c r="Y55" s="1408"/>
      <c r="Z55" s="1311"/>
      <c r="AA55" s="1311"/>
      <c r="AB55" s="1311"/>
      <c r="AC55" s="1311"/>
      <c r="AD55" s="2090"/>
      <c r="AE55" s="2192"/>
      <c r="AF55" s="2102"/>
      <c r="AG55" s="2214"/>
      <c r="AH55" s="2029"/>
      <c r="AI55" s="211"/>
      <c r="AJ55" s="348"/>
      <c r="AK55" s="232" t="s">
        <v>472</v>
      </c>
      <c r="AL55" s="1311"/>
      <c r="AM55" s="1311"/>
      <c r="AN55" s="1311"/>
      <c r="AO55" s="1311"/>
      <c r="AP55" s="1311"/>
      <c r="AQ55" s="1311"/>
      <c r="AR55" s="1311"/>
      <c r="AS55" s="1311"/>
      <c r="AT55" s="1311"/>
      <c r="AU55" s="1408"/>
      <c r="AV55" s="1311"/>
      <c r="AW55" s="1408"/>
      <c r="AX55" s="1311"/>
      <c r="AY55" s="1311"/>
      <c r="AZ55" s="1311"/>
      <c r="BA55" s="1311"/>
      <c r="BB55" s="1315"/>
      <c r="BC55" s="2170"/>
      <c r="BE55" s="425"/>
      <c r="BF55" s="425"/>
      <c r="BG55" s="425"/>
      <c r="BH55" s="425"/>
    </row>
    <row r="56" spans="1:60" ht="11.25" customHeight="1">
      <c r="A56" s="1281" t="s">
        <v>214</v>
      </c>
      <c r="B56" s="1281" t="s">
        <v>215</v>
      </c>
      <c r="C56" s="1281" t="s">
        <v>216</v>
      </c>
      <c r="D56" s="1281" t="s">
        <v>483</v>
      </c>
      <c r="E56" s="2147"/>
      <c r="F56" s="2147"/>
      <c r="G56" s="2147"/>
      <c r="H56" s="2147"/>
      <c r="I56" s="2149"/>
      <c r="J56" s="2149"/>
      <c r="K56" s="2148"/>
      <c r="L56" s="1282"/>
      <c r="P56" s="2150"/>
      <c r="Q56" s="2150"/>
      <c r="R56" s="281"/>
      <c r="S56" s="2198"/>
      <c r="T56" s="2217"/>
      <c r="U56" s="217"/>
      <c r="V56" s="1311"/>
      <c r="W56" s="1312" t="str">
        <f>Z52&amp;"-"&amp;AB52</f>
        <v>-</v>
      </c>
      <c r="X56" s="1311"/>
      <c r="Y56" s="1312" t="str">
        <f>AB52&amp;"-"&amp;AD52</f>
        <v>-да</v>
      </c>
      <c r="Z56" s="1311"/>
      <c r="AA56" s="1311"/>
      <c r="AB56" s="1311"/>
      <c r="AC56" s="1311"/>
      <c r="AD56" s="2034"/>
      <c r="AE56" s="231"/>
      <c r="AF56" s="233"/>
      <c r="AG56" s="349" t="s">
        <v>473</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170"/>
      <c r="BE56" s="425"/>
      <c r="BF56" s="425" t="str">
        <f t="shared" ref="BF56:BF63" si="4">IF(T56="","",T56)</f>
        <v/>
      </c>
      <c r="BG56" s="425"/>
      <c r="BH56" s="425"/>
    </row>
    <row r="57" spans="1:60" ht="11.25" customHeight="1">
      <c r="A57" s="1281" t="s">
        <v>214</v>
      </c>
      <c r="B57" s="1281" t="s">
        <v>215</v>
      </c>
      <c r="C57" s="1281" t="s">
        <v>216</v>
      </c>
      <c r="D57" s="1281" t="s">
        <v>483</v>
      </c>
      <c r="E57" s="2147"/>
      <c r="F57" s="2147"/>
      <c r="G57" s="2147"/>
      <c r="H57" s="2147"/>
      <c r="I57" s="2149"/>
      <c r="J57" s="2148"/>
      <c r="K57" s="1281"/>
      <c r="L57" s="1282"/>
      <c r="P57" s="2150"/>
      <c r="Q57" s="2150"/>
      <c r="R57" s="280"/>
      <c r="S57" s="1200"/>
      <c r="T57" s="204" t="s">
        <v>437</v>
      </c>
      <c r="U57" s="294"/>
      <c r="V57" s="294"/>
      <c r="W57" s="294"/>
      <c r="X57" s="294"/>
      <c r="Y57" s="294"/>
      <c r="Z57" s="294"/>
      <c r="AA57" s="294"/>
      <c r="AB57" s="294"/>
      <c r="AC57" s="248"/>
      <c r="AD57" s="1417"/>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48"/>
      <c r="BC57" s="2171"/>
      <c r="BE57" s="425"/>
      <c r="BF57" s="425" t="str">
        <f t="shared" si="4"/>
        <v>Добавить строку</v>
      </c>
      <c r="BG57" s="425"/>
      <c r="BH57" s="425"/>
    </row>
    <row r="58" spans="1:60" s="1811" customFormat="1" ht="0" hidden="1" customHeight="1">
      <c r="A58" s="1262" t="s">
        <v>214</v>
      </c>
      <c r="B58" s="1262" t="s">
        <v>215</v>
      </c>
      <c r="C58" s="1262" t="s">
        <v>216</v>
      </c>
      <c r="D58" s="1262" t="s">
        <v>483</v>
      </c>
      <c r="E58" s="2147"/>
      <c r="F58" s="2147"/>
      <c r="G58" s="2147"/>
      <c r="H58" s="2147"/>
      <c r="I58" s="2148"/>
      <c r="J58" s="1262"/>
      <c r="K58" s="1262"/>
      <c r="L58" s="1265"/>
      <c r="M58" s="435"/>
      <c r="N58" s="435"/>
      <c r="O58" s="435"/>
      <c r="P58" s="2150"/>
      <c r="Q58" s="1376"/>
      <c r="R58" s="280"/>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25"/>
      <c r="BF58" s="425" t="str">
        <f t="shared" si="4"/>
        <v/>
      </c>
      <c r="BG58" s="425"/>
      <c r="BH58" s="425"/>
    </row>
    <row r="59" spans="1:60" s="1811" customFormat="1" ht="0" hidden="1" customHeight="1">
      <c r="A59" s="1262" t="s">
        <v>214</v>
      </c>
      <c r="B59" s="1262" t="s">
        <v>215</v>
      </c>
      <c r="C59" s="1262" t="s">
        <v>216</v>
      </c>
      <c r="D59" s="1262" t="s">
        <v>483</v>
      </c>
      <c r="E59" s="2147"/>
      <c r="F59" s="2147"/>
      <c r="G59" s="2147"/>
      <c r="H59" s="2146"/>
      <c r="I59" s="1262"/>
      <c r="J59" s="1262"/>
      <c r="K59" s="1262"/>
      <c r="L59" s="1265"/>
      <c r="M59" s="1235"/>
      <c r="N59" s="1235"/>
      <c r="O59" s="443"/>
      <c r="P59" s="312"/>
      <c r="Q59" s="1263"/>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25"/>
      <c r="BF59" s="425" t="str">
        <f t="shared" si="4"/>
        <v/>
      </c>
      <c r="BG59" s="425"/>
      <c r="BH59" s="425"/>
    </row>
    <row r="60" spans="1:60" s="1881" customFormat="1" ht="0" hidden="1" customHeight="1">
      <c r="A60" s="1262" t="s">
        <v>214</v>
      </c>
      <c r="B60" s="1262" t="s">
        <v>215</v>
      </c>
      <c r="C60" s="1262" t="s">
        <v>216</v>
      </c>
      <c r="D60" s="1234"/>
      <c r="E60" s="2147"/>
      <c r="F60" s="2147"/>
      <c r="G60" s="2146"/>
      <c r="H60" s="1234"/>
      <c r="I60" s="1234"/>
      <c r="J60" s="1234"/>
      <c r="K60" s="1234"/>
      <c r="L60" s="1378"/>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07"/>
      <c r="BF60" s="707" t="str">
        <f t="shared" si="4"/>
        <v/>
      </c>
      <c r="BG60" s="707"/>
      <c r="BH60" s="707"/>
    </row>
    <row r="61" spans="1:60" s="1881" customFormat="1" ht="0" hidden="1" customHeight="1">
      <c r="A61" s="1262" t="s">
        <v>214</v>
      </c>
      <c r="B61" s="1262" t="s">
        <v>215</v>
      </c>
      <c r="C61" s="1234"/>
      <c r="D61" s="1234"/>
      <c r="E61" s="2147"/>
      <c r="F61" s="2146"/>
      <c r="G61" s="1234"/>
      <c r="H61" s="1234"/>
      <c r="I61" s="1234"/>
      <c r="J61" s="1234"/>
      <c r="K61" s="1234"/>
      <c r="L61" s="1378"/>
      <c r="M61" s="1241"/>
      <c r="N61" s="1241"/>
      <c r="P61" s="1236"/>
      <c r="Q61" s="1237"/>
      <c r="R61" s="1236"/>
      <c r="S61" s="1242"/>
      <c r="T61" s="1245" t="s">
        <v>385</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07"/>
      <c r="BF61" s="707" t="str">
        <f t="shared" si="4"/>
        <v>Добавить централизованную систему для дифференциации</v>
      </c>
      <c r="BG61" s="707"/>
      <c r="BH61" s="707"/>
    </row>
    <row r="62" spans="1:60" s="1811" customFormat="1" ht="0" hidden="1" customHeight="1">
      <c r="A62" s="1262" t="s">
        <v>214</v>
      </c>
      <c r="B62" s="1262"/>
      <c r="C62" s="1262"/>
      <c r="D62" s="1262"/>
      <c r="E62" s="2146"/>
      <c r="F62" s="1262"/>
      <c r="G62" s="1262"/>
      <c r="H62" s="1262"/>
      <c r="I62" s="1262"/>
      <c r="J62" s="1262"/>
      <c r="K62" s="1262"/>
      <c r="L62" s="1265"/>
      <c r="M62" s="1241"/>
      <c r="N62" s="1241"/>
      <c r="O62" s="443"/>
      <c r="P62" s="312"/>
      <c r="Q62" s="1263"/>
      <c r="R62" s="312"/>
      <c r="S62" s="1242"/>
      <c r="T62" s="1245" t="s">
        <v>386</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25"/>
      <c r="BF62" s="425" t="str">
        <f t="shared" si="4"/>
        <v>Добавить территорию для дифференциации</v>
      </c>
      <c r="BG62" s="425"/>
      <c r="BH62" s="425"/>
    </row>
    <row r="63" spans="1:60" s="1881" customFormat="1" ht="0" hidden="1" customHeight="1">
      <c r="A63" s="1234"/>
      <c r="B63" s="1234"/>
      <c r="C63" s="1234"/>
      <c r="D63" s="1234"/>
      <c r="E63" s="1262"/>
      <c r="F63" s="1234"/>
      <c r="G63" s="1234"/>
      <c r="H63" s="1234"/>
      <c r="I63" s="1234"/>
      <c r="J63" s="1234"/>
      <c r="K63" s="1234"/>
      <c r="L63" s="1378"/>
      <c r="M63" s="1241"/>
      <c r="N63" s="1241"/>
      <c r="P63" s="1236"/>
      <c r="Q63" s="1237"/>
      <c r="R63" s="1236"/>
      <c r="S63" s="1242"/>
      <c r="T63" s="1245" t="s">
        <v>418</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07"/>
      <c r="BF63" s="707" t="str">
        <f t="shared" si="4"/>
        <v>Добавить наименование тарифа</v>
      </c>
      <c r="BG63" s="707"/>
      <c r="BH63" s="707"/>
    </row>
    <row r="64" spans="1:60" ht="11.25" customHeight="1">
      <c r="M64" s="1062"/>
      <c r="N64" s="1062"/>
      <c r="O64" s="461"/>
      <c r="P64" s="1062"/>
      <c r="Q64" s="1062"/>
      <c r="R64" s="1057"/>
      <c r="S64" s="1057"/>
      <c r="BD64" s="1057"/>
      <c r="BE64" s="1057"/>
      <c r="BF64" s="1057"/>
      <c r="BG64" s="1057"/>
      <c r="BH64" s="1057"/>
    </row>
    <row r="65" spans="15:55" ht="18.75" customHeight="1">
      <c r="O65" s="461"/>
      <c r="S65" s="1166"/>
      <c r="T65" s="2145"/>
      <c r="U65" s="2145"/>
      <c r="V65" s="2145"/>
      <c r="W65" s="2145"/>
      <c r="X65" s="2145"/>
      <c r="Y65" s="2145"/>
      <c r="Z65" s="2145"/>
      <c r="AA65" s="2145"/>
      <c r="AB65" s="2145"/>
      <c r="AC65" s="2145"/>
      <c r="AD65" s="2145"/>
      <c r="AE65" s="2145"/>
      <c r="AF65" s="2145"/>
      <c r="AG65" s="2145"/>
      <c r="AH65" s="2145"/>
      <c r="AI65" s="2145"/>
      <c r="AJ65" s="2145"/>
      <c r="AK65" s="2145"/>
      <c r="AL65" s="2145"/>
      <c r="AM65" s="2145"/>
      <c r="AN65" s="2145"/>
      <c r="AO65" s="2145"/>
      <c r="AP65" s="2145"/>
      <c r="AQ65" s="2145"/>
      <c r="AR65" s="2145"/>
      <c r="AS65" s="2145"/>
      <c r="AT65" s="2145"/>
      <c r="AU65" s="2145"/>
      <c r="AV65" s="2145"/>
      <c r="AW65" s="2145"/>
      <c r="AX65" s="2145"/>
      <c r="AY65" s="2145"/>
      <c r="AZ65" s="2145"/>
      <c r="BA65" s="2145"/>
      <c r="BB65" s="2145"/>
      <c r="BC65" s="2145"/>
    </row>
    <row r="66" spans="15:55" ht="14.25" customHeight="1">
      <c r="O66" s="461"/>
      <c r="T66" s="1364"/>
      <c r="U66" s="1364"/>
      <c r="V66" s="1364"/>
      <c r="W66" s="1364"/>
      <c r="X66" s="1364"/>
      <c r="Y66" s="1364"/>
      <c r="Z66" s="1364"/>
      <c r="AA66" s="1364"/>
      <c r="AB66" s="1364"/>
      <c r="AC66" s="1364"/>
      <c r="AD66" s="1364"/>
      <c r="AE66" s="1364"/>
      <c r="AF66" s="1364"/>
      <c r="AG66" s="1364"/>
      <c r="AH66" s="1364"/>
      <c r="AI66" s="1364"/>
      <c r="AJ66" s="1364"/>
      <c r="AK66" s="1364"/>
      <c r="AL66" s="1364"/>
      <c r="AM66" s="1364"/>
      <c r="AN66" s="1364"/>
      <c r="AO66" s="1364"/>
      <c r="AP66" s="1364"/>
      <c r="AQ66" s="1364"/>
      <c r="AR66" s="1364"/>
      <c r="AS66" s="1364"/>
      <c r="AT66" s="1364"/>
      <c r="AU66" s="1364"/>
      <c r="AV66" s="1364"/>
      <c r="AW66" s="1364"/>
      <c r="AX66" s="1364"/>
      <c r="AY66" s="1364"/>
      <c r="AZ66" s="1364"/>
      <c r="BA66" s="1364"/>
      <c r="BB66" s="1364"/>
      <c r="BC66" s="1364"/>
    </row>
    <row r="67" spans="15:55" ht="18.75" customHeight="1">
      <c r="O67" s="461"/>
      <c r="S67" s="1166"/>
      <c r="T67" s="2145"/>
      <c r="U67" s="2145"/>
      <c r="V67" s="2145"/>
      <c r="W67" s="2145"/>
      <c r="X67" s="2145"/>
      <c r="Y67" s="2145"/>
      <c r="Z67" s="2145"/>
      <c r="AA67" s="2145"/>
      <c r="AB67" s="2145"/>
      <c r="AC67" s="2145"/>
      <c r="AD67" s="2145"/>
      <c r="AE67" s="2145"/>
      <c r="AF67" s="2145"/>
      <c r="AG67" s="2145"/>
      <c r="AH67" s="2145"/>
      <c r="AI67" s="2145"/>
      <c r="AJ67" s="2145"/>
      <c r="AK67" s="2145"/>
      <c r="AL67" s="2145"/>
      <c r="AM67" s="2145"/>
      <c r="AN67" s="2145"/>
      <c r="AO67" s="2145"/>
      <c r="AP67" s="2145"/>
      <c r="AQ67" s="2145"/>
      <c r="AR67" s="2145"/>
      <c r="AS67" s="2145"/>
      <c r="AT67" s="2145"/>
      <c r="AU67" s="2145"/>
      <c r="AV67" s="2145"/>
      <c r="AW67" s="2145"/>
      <c r="AX67" s="2145"/>
      <c r="AY67" s="2145"/>
      <c r="AZ67" s="2145"/>
      <c r="BA67" s="2145"/>
      <c r="BB67" s="2145"/>
      <c r="BC67" s="2145"/>
    </row>
    <row r="68" spans="15:55" ht="14.25" customHeight="1">
      <c r="O68" s="461"/>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6">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40"/>
      <c r="W2" s="2141"/>
      <c r="X2" s="2141"/>
      <c r="Y2" s="2141"/>
      <c r="Z2" s="2141"/>
      <c r="AA2" s="2141"/>
      <c r="AB2" s="2142"/>
      <c r="AC2" s="2140" t="e">
        <f>INDEX(PT_DIFFERENTIATION_NTAR,MATCH(A2,PT_DIFFERENTIATION_NTAR_ID,0))</f>
        <v>#N/A</v>
      </c>
      <c r="AD2" s="2141"/>
      <c r="AE2" s="2141"/>
      <c r="AF2" s="2141"/>
      <c r="AG2" s="2141"/>
      <c r="AH2" s="2141"/>
      <c r="AI2" s="2141"/>
      <c r="AJ2" s="2142"/>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7"/>
      <c r="F3" s="2146">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40"/>
      <c r="W3" s="2141"/>
      <c r="X3" s="2141"/>
      <c r="Y3" s="2141"/>
      <c r="Z3" s="2141"/>
      <c r="AA3" s="2141"/>
      <c r="AB3" s="2142"/>
      <c r="AC3" s="2140" t="e">
        <f>INDEX(PT_DIFFERENTIATION_TER,MATCH(B3,PT_DIFFERENTIATION_TER_ID,0))</f>
        <v>#N/A</v>
      </c>
      <c r="AD3" s="2141"/>
      <c r="AE3" s="2141"/>
      <c r="AF3" s="2141"/>
      <c r="AG3" s="2141"/>
      <c r="AH3" s="2141"/>
      <c r="AI3" s="2141"/>
      <c r="AJ3" s="2142"/>
      <c r="AK3" s="1179" t="s">
        <v>368</v>
      </c>
      <c r="AM3" s="425"/>
      <c r="AN3" s="425" t="str">
        <f t="shared" si="0"/>
        <v>Территория действия тарифа</v>
      </c>
      <c r="AO3" s="425"/>
      <c r="AP3" s="425"/>
    </row>
    <row r="4" spans="1:42" ht="23.25" hidden="1" customHeight="1">
      <c r="A4" s="1281"/>
      <c r="B4" s="1281"/>
      <c r="C4" s="1281"/>
      <c r="D4" s="1281"/>
      <c r="E4" s="2147"/>
      <c r="F4" s="2147"/>
      <c r="G4" s="2146">
        <v>1</v>
      </c>
      <c r="H4" s="1281"/>
      <c r="I4" s="1281"/>
      <c r="J4" s="1281"/>
      <c r="K4" s="1281"/>
      <c r="L4" s="1282"/>
      <c r="M4" s="1283"/>
      <c r="N4" s="1283"/>
      <c r="O4" s="1283"/>
      <c r="P4" s="278"/>
      <c r="Q4" s="276"/>
      <c r="R4" s="277"/>
      <c r="S4" s="1405" t="e">
        <f>INDEX(PT_DIFFERENTIATION_NUM_CS,MATCH(C4,PT_DIFFERENTIATION_CS_ID,0))</f>
        <v>#N/A</v>
      </c>
      <c r="T4" s="228" t="s">
        <v>484</v>
      </c>
      <c r="U4" s="217"/>
      <c r="V4" s="2140"/>
      <c r="W4" s="2141"/>
      <c r="X4" s="2141"/>
      <c r="Y4" s="2141"/>
      <c r="Z4" s="2141"/>
      <c r="AA4" s="2141"/>
      <c r="AB4" s="2142"/>
      <c r="AC4" s="2140" t="e">
        <f>INDEX(PT_DIFFERENTIATION_CS,MATCH(C4,PT_DIFFERENTIATION_CS_ID,0))</f>
        <v>#N/A</v>
      </c>
      <c r="AD4" s="2141"/>
      <c r="AE4" s="2141"/>
      <c r="AF4" s="2141"/>
      <c r="AG4" s="2141"/>
      <c r="AH4" s="2141"/>
      <c r="AI4" s="2141"/>
      <c r="AJ4" s="2142"/>
      <c r="AK4" s="1179" t="s">
        <v>485</v>
      </c>
      <c r="AM4" s="425"/>
      <c r="AN4" s="425" t="str">
        <f t="shared" si="0"/>
        <v>Наименование централизованной системы водоотведения</v>
      </c>
      <c r="AO4" s="425"/>
      <c r="AP4" s="425"/>
    </row>
    <row r="5" spans="1:42" ht="23.25" hidden="1" customHeight="1">
      <c r="A5" s="1281"/>
      <c r="B5" s="1281"/>
      <c r="C5" s="1281"/>
      <c r="D5" s="1281"/>
      <c r="E5" s="2147"/>
      <c r="F5" s="2147"/>
      <c r="G5" s="2147"/>
      <c r="H5" s="2147"/>
      <c r="I5" s="2148" t="e">
        <f>S4&amp;".1"</f>
        <v>#N/A</v>
      </c>
      <c r="J5" s="1281"/>
      <c r="K5" s="1281"/>
      <c r="L5" s="1282"/>
      <c r="P5" s="2150">
        <v>1</v>
      </c>
      <c r="Q5" s="1393"/>
      <c r="R5" s="280"/>
      <c r="S5" s="1405"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7"/>
      <c r="F6" s="2147"/>
      <c r="G6" s="2147"/>
      <c r="H6" s="2147"/>
      <c r="I6" s="2149"/>
      <c r="J6" s="2148" t="e">
        <f>I5&amp;".1"</f>
        <v>#N/A</v>
      </c>
      <c r="K6" s="1281"/>
      <c r="L6" s="1282" t="s">
        <v>376</v>
      </c>
      <c r="P6" s="2150"/>
      <c r="Q6" s="2150">
        <v>1</v>
      </c>
      <c r="R6" s="281"/>
      <c r="S6" s="1405" t="e">
        <f>$J6</f>
        <v>#N/A</v>
      </c>
      <c r="T6" s="203" t="s">
        <v>377</v>
      </c>
      <c r="U6" s="217"/>
      <c r="V6" s="2134"/>
      <c r="W6" s="2135"/>
      <c r="X6" s="2135"/>
      <c r="Y6" s="2135"/>
      <c r="Z6" s="2135"/>
      <c r="AA6" s="2135"/>
      <c r="AB6" s="2136"/>
      <c r="AC6" s="2134"/>
      <c r="AD6" s="2135"/>
      <c r="AE6" s="2135"/>
      <c r="AF6" s="2135"/>
      <c r="AG6" s="2135"/>
      <c r="AH6" s="2135"/>
      <c r="AI6" s="2135"/>
      <c r="AJ6" s="2136"/>
      <c r="AK6" s="1228" t="s">
        <v>455</v>
      </c>
      <c r="AM6" s="425"/>
      <c r="AN6" s="425" t="str">
        <f t="shared" si="0"/>
        <v>Группа потребителей</v>
      </c>
      <c r="AO6" s="425"/>
      <c r="AP6" s="425"/>
    </row>
    <row r="7" spans="1:42" ht="23.25" hidden="1" customHeight="1">
      <c r="A7" s="1281"/>
      <c r="B7" s="1281"/>
      <c r="C7" s="1281"/>
      <c r="D7" s="1281"/>
      <c r="E7" s="2147"/>
      <c r="F7" s="2147"/>
      <c r="G7" s="2147"/>
      <c r="H7" s="2147"/>
      <c r="I7" s="2149"/>
      <c r="J7" s="2149"/>
      <c r="K7" s="2148" t="e">
        <f>J6&amp;".1"</f>
        <v>#N/A</v>
      </c>
      <c r="L7" s="1282"/>
      <c r="P7" s="2150"/>
      <c r="Q7" s="2150"/>
      <c r="R7" s="281">
        <v>1</v>
      </c>
      <c r="S7" s="1405" t="e">
        <f>$K7</f>
        <v>#N/A</v>
      </c>
      <c r="T7" s="1354"/>
      <c r="U7" s="217"/>
      <c r="V7" s="668"/>
      <c r="W7" s="668"/>
      <c r="X7" s="1178"/>
      <c r="Y7" s="2151"/>
      <c r="Z7" s="2029" t="s">
        <v>50</v>
      </c>
      <c r="AA7" s="2151"/>
      <c r="AB7" s="2029" t="s">
        <v>50</v>
      </c>
      <c r="AC7" s="668"/>
      <c r="AD7" s="668"/>
      <c r="AE7" s="1178"/>
      <c r="AF7" s="2151"/>
      <c r="AG7" s="2029" t="s">
        <v>50</v>
      </c>
      <c r="AH7" s="2153"/>
      <c r="AI7" s="2029" t="s">
        <v>50</v>
      </c>
      <c r="AJ7" s="1355"/>
      <c r="AK7"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7"/>
      <c r="F8" s="2147"/>
      <c r="G8" s="2147"/>
      <c r="H8" s="2147"/>
      <c r="I8" s="2149"/>
      <c r="J8" s="2149"/>
      <c r="K8" s="2148"/>
      <c r="L8" s="1282"/>
      <c r="P8" s="2150"/>
      <c r="Q8" s="2150"/>
      <c r="R8" s="281"/>
      <c r="S8" s="1402"/>
      <c r="T8" s="217"/>
      <c r="U8" s="217"/>
      <c r="V8" s="249"/>
      <c r="W8" s="249"/>
      <c r="X8" s="253" t="str">
        <f>Y7&amp;"-"&amp;AA7</f>
        <v>-</v>
      </c>
      <c r="Y8" s="2152"/>
      <c r="Z8" s="2029"/>
      <c r="AA8" s="2152"/>
      <c r="AB8" s="2029"/>
      <c r="AC8" s="249"/>
      <c r="AD8" s="249"/>
      <c r="AE8" s="253" t="str">
        <f>AF7&amp;"-"&amp;AH7</f>
        <v>-</v>
      </c>
      <c r="AF8" s="2152"/>
      <c r="AG8" s="2029"/>
      <c r="AH8" s="2154"/>
      <c r="AI8" s="2029"/>
      <c r="AJ8" s="1356"/>
      <c r="AK8" s="2212"/>
      <c r="AM8" s="425"/>
      <c r="AN8" s="425" t="str">
        <f t="shared" si="0"/>
        <v/>
      </c>
      <c r="AO8" s="425"/>
      <c r="AP8" s="425"/>
    </row>
    <row r="9" spans="1:42" ht="21" hidden="1" customHeight="1">
      <c r="A9" s="1281"/>
      <c r="B9" s="1281"/>
      <c r="C9" s="1281"/>
      <c r="D9" s="1281"/>
      <c r="E9" s="2147"/>
      <c r="F9" s="2147"/>
      <c r="G9" s="2147"/>
      <c r="H9" s="2147"/>
      <c r="I9" s="2149"/>
      <c r="J9" s="2148"/>
      <c r="K9" s="1281"/>
      <c r="L9" s="1282"/>
      <c r="P9" s="2150"/>
      <c r="Q9" s="2150"/>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7"/>
      <c r="F10" s="2147"/>
      <c r="G10" s="2147"/>
      <c r="H10" s="2147"/>
      <c r="I10" s="2148"/>
      <c r="J10" s="1281"/>
      <c r="K10" s="1281"/>
      <c r="L10" s="1282"/>
      <c r="P10" s="2150"/>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7"/>
      <c r="F11" s="2147"/>
      <c r="G11" s="2147"/>
      <c r="H11" s="2146"/>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7"/>
      <c r="F12" s="2146"/>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6"/>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4"/>
      <c r="AG15" s="2143" t="s">
        <v>50</v>
      </c>
      <c r="AH15" s="2144"/>
      <c r="AI15" s="2143" t="s">
        <v>50</v>
      </c>
    </row>
    <row r="16" spans="1:42" ht="14.25" hidden="1" customHeight="1">
      <c r="AC16" s="1278"/>
      <c r="AD16" s="1278"/>
      <c r="AE16" s="253" t="str">
        <f>AF15&amp;"-"&amp;AH15</f>
        <v>-</v>
      </c>
      <c r="AF16" s="2143"/>
      <c r="AG16" s="2143"/>
      <c r="AH16" s="2143"/>
      <c r="AI16" s="2143"/>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2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27"/>
      <c r="U24" s="2127"/>
      <c r="V24" s="2127"/>
      <c r="W24" s="2127"/>
      <c r="X24" s="2127"/>
      <c r="Y24" s="2127"/>
      <c r="Z24" s="2127"/>
      <c r="AA24" s="2127"/>
      <c r="AB24" s="2127"/>
      <c r="AC24" s="2127"/>
      <c r="AD24" s="2127"/>
      <c r="AE24" s="2127"/>
      <c r="AF24" s="2127"/>
      <c r="AG24" s="2127"/>
      <c r="AH24" s="2127"/>
      <c r="AI24" s="1154"/>
    </row>
    <row r="25" spans="1:42" ht="14.25" customHeight="1">
      <c r="Q25" s="304"/>
      <c r="R25" s="304"/>
      <c r="S25" s="2098" t="str">
        <f>IF(org=0,"Не определено",org)</f>
        <v>ООО "Горводоканал"</v>
      </c>
      <c r="T25" s="2098"/>
      <c r="U25" s="2098"/>
      <c r="V25" s="2098"/>
      <c r="W25" s="2098"/>
      <c r="X25" s="2098"/>
      <c r="Y25" s="2098"/>
      <c r="Z25" s="2098"/>
      <c r="AA25" s="2098"/>
      <c r="AB25" s="2098"/>
      <c r="AC25" s="2098"/>
      <c r="AD25" s="2098"/>
      <c r="AE25" s="2098"/>
      <c r="AF25" s="2098"/>
      <c r="AG25" s="2098"/>
      <c r="AH25" s="2098"/>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7" t="s">
        <v>37</v>
      </c>
      <c r="T27" s="2137"/>
      <c r="U27" s="1290"/>
      <c r="V27" s="2139" t="str">
        <f>IF(TITLE_NAME_OR_PR_CHANGE="",IF(TITLE_NAME_OR_PR="","",TITLE_NAME_OR_PR),TITLE_NAME_OR_PR_CHANGE)</f>
        <v/>
      </c>
      <c r="W27" s="2139"/>
      <c r="X27" s="2139"/>
      <c r="Y27" s="2139"/>
      <c r="Z27" s="2139"/>
      <c r="AA27" s="2139"/>
      <c r="AB27" s="251"/>
      <c r="AC27" s="2139" t="str">
        <f>IF(TITLE_NAME_OR_PR_CHANGE="",IF(TITLE_NAME_OR_PR="","",TITLE_NAME_OR_PR),TITLE_NAME_OR_PR_CHANGE)</f>
        <v/>
      </c>
      <c r="AD27" s="2139"/>
      <c r="AE27" s="2139"/>
      <c r="AF27" s="2139"/>
      <c r="AG27" s="2139"/>
      <c r="AH27" s="2139"/>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7" t="s">
        <v>393</v>
      </c>
      <c r="T28" s="2137"/>
      <c r="U28" s="1290"/>
      <c r="V28" s="2138" t="str">
        <f>IF(TITLE_DATE_PR_CHANGE="",IF(TITLE_DATE_PR="","",TITLE_DATE_PR),TITLE_DATE_PR_CHANGE)</f>
        <v/>
      </c>
      <c r="W28" s="2138"/>
      <c r="X28" s="2138"/>
      <c r="Y28" s="2138"/>
      <c r="Z28" s="2138"/>
      <c r="AA28" s="2138"/>
      <c r="AB28" s="251"/>
      <c r="AC28" s="2138" t="str">
        <f>IF(TITLE_DATE_PR_CHANGE="",IF(TITLE_DATE_PR="","",TITLE_DATE_PR),TITLE_DATE_PR_CHANGE)</f>
        <v/>
      </c>
      <c r="AD28" s="2138"/>
      <c r="AE28" s="2138"/>
      <c r="AF28" s="2138"/>
      <c r="AG28" s="2138"/>
      <c r="AH28" s="2138"/>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7" t="s">
        <v>394</v>
      </c>
      <c r="T29" s="2137"/>
      <c r="U29" s="1290"/>
      <c r="V29" s="2139" t="str">
        <f>IF(TITLE_NUMBER_PR_CHANGE="",IF(TITLE_NUMBER_PR="","",TITLE_NUMBER_PR),TITLE_NUMBER_PR_CHANGE)</f>
        <v/>
      </c>
      <c r="W29" s="2139"/>
      <c r="X29" s="2139"/>
      <c r="Y29" s="2139"/>
      <c r="Z29" s="2139"/>
      <c r="AA29" s="2139"/>
      <c r="AB29" s="251"/>
      <c r="AC29" s="2139" t="str">
        <f>IF(TITLE_NUMBER_PR_CHANGE="",IF(TITLE_NUMBER_PR="","",TITLE_NUMBER_PR),TITLE_NUMBER_PR_CHANGE)</f>
        <v/>
      </c>
      <c r="AD29" s="2139"/>
      <c r="AE29" s="2139"/>
      <c r="AF29" s="2139"/>
      <c r="AG29" s="2139"/>
      <c r="AH29" s="2139"/>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7" t="s">
        <v>38</v>
      </c>
      <c r="T30" s="2137"/>
      <c r="U30" s="1290"/>
      <c r="V30" s="2139" t="str">
        <f>IF(TITLE_IST_PUB_CHANGE="",IF(TITLE_IST_PUB="","",TITLE_IST_PUB),TITLE_IST_PUB_CHANGE)</f>
        <v/>
      </c>
      <c r="W30" s="2139"/>
      <c r="X30" s="2139"/>
      <c r="Y30" s="2139"/>
      <c r="Z30" s="2139"/>
      <c r="AA30" s="2139"/>
      <c r="AB30" s="251"/>
      <c r="AC30" s="2139" t="str">
        <f>IF(TITLE_IST_PUB_CHANGE="",IF(TITLE_IST_PUB="","",TITLE_IST_PUB),TITLE_IST_PUB_CHANGE)</f>
        <v/>
      </c>
      <c r="AD30" s="2139"/>
      <c r="AE30" s="2139"/>
      <c r="AF30" s="2139"/>
      <c r="AG30" s="2139"/>
      <c r="AH30" s="2139"/>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7" t="s">
        <v>395</v>
      </c>
      <c r="T32" s="2137"/>
      <c r="U32" s="1290"/>
      <c r="V32" s="2138" t="str">
        <f>IF(TITLE_DATE_PR_CHANGE="",IF(TITLE_DATE_PR="","",TITLE_DATE_PR),TITLE_DATE_PR_CHANGE)</f>
        <v/>
      </c>
      <c r="W32" s="2138"/>
      <c r="X32" s="2138"/>
      <c r="Y32" s="2138"/>
      <c r="Z32" s="2138"/>
      <c r="AA32" s="2138"/>
      <c r="AB32" s="251"/>
      <c r="AC32" s="2138" t="str">
        <f>IF(TITLE_DATE_PR_CHANGE="",IF(TITLE_DATE_PR="","",TITLE_DATE_PR),TITLE_DATE_PR_CHANGE)</f>
        <v/>
      </c>
      <c r="AD32" s="2138"/>
      <c r="AE32" s="2138"/>
      <c r="AF32" s="2138"/>
      <c r="AG32" s="2138"/>
      <c r="AH32" s="2138"/>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7" t="s">
        <v>396</v>
      </c>
      <c r="T33" s="2137"/>
      <c r="U33" s="1290"/>
      <c r="V33" s="2139" t="str">
        <f>IF(TITLE_NUMBER_PR_CHANGE="",IF(TITLE_NUMBER_PR="","",TITLE_NUMBER_PR),TITLE_NUMBER_PR_CHANGE)</f>
        <v/>
      </c>
      <c r="W33" s="2139"/>
      <c r="X33" s="2139"/>
      <c r="Y33" s="2139"/>
      <c r="Z33" s="2139"/>
      <c r="AA33" s="2139"/>
      <c r="AB33" s="251"/>
      <c r="AC33" s="2139" t="str">
        <f>IF(TITLE_NUMBER_PR_CHANGE="",IF(TITLE_NUMBER_PR="","",TITLE_NUMBER_PR),TITLE_NUMBER_PR_CHANGE)</f>
        <v/>
      </c>
      <c r="AD33" s="2139"/>
      <c r="AE33" s="2139"/>
      <c r="AF33" s="2139"/>
      <c r="AG33" s="2139"/>
      <c r="AH33" s="2139"/>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8"/>
      <c r="W35" s="2158"/>
      <c r="X35" s="2158"/>
      <c r="Y35" s="2158"/>
      <c r="Z35" s="2158"/>
      <c r="AA35" s="2158"/>
      <c r="AB35" s="2158"/>
      <c r="AC35" s="2158"/>
      <c r="AD35" s="2158"/>
      <c r="AE35" s="2158"/>
      <c r="AF35" s="2158"/>
      <c r="AG35" s="2158"/>
      <c r="AH35" s="2158"/>
      <c r="AI35" s="2158"/>
    </row>
    <row r="36" spans="1:42" ht="14.25" customHeight="1">
      <c r="Q36" s="304"/>
      <c r="R36" s="304"/>
      <c r="S36" s="2019" t="s">
        <v>268</v>
      </c>
      <c r="T36" s="2019"/>
      <c r="U36" s="2019"/>
      <c r="V36" s="2019"/>
      <c r="W36" s="2019"/>
      <c r="X36" s="2019"/>
      <c r="Y36" s="2019"/>
      <c r="Z36" s="2019"/>
      <c r="AA36" s="2019"/>
      <c r="AB36" s="2019"/>
      <c r="AC36" s="2019"/>
      <c r="AD36" s="2019"/>
      <c r="AE36" s="2019"/>
      <c r="AF36" s="2019"/>
      <c r="AG36" s="2019"/>
      <c r="AH36" s="2019"/>
      <c r="AI36" s="2019"/>
      <c r="AJ36" s="2019"/>
      <c r="AK36" s="2019" t="s">
        <v>269</v>
      </c>
    </row>
    <row r="37" spans="1:42" ht="14.25" customHeight="1">
      <c r="Q37" s="304"/>
      <c r="R37" s="304"/>
      <c r="S37" s="2159" t="s">
        <v>73</v>
      </c>
      <c r="T37" s="2107" t="s">
        <v>398</v>
      </c>
      <c r="U37" s="218"/>
      <c r="V37" s="2160" t="s">
        <v>399</v>
      </c>
      <c r="W37" s="2161"/>
      <c r="X37" s="2161"/>
      <c r="Y37" s="2161"/>
      <c r="Z37" s="2161"/>
      <c r="AA37" s="2162"/>
      <c r="AB37" s="2163" t="s">
        <v>400</v>
      </c>
      <c r="AC37" s="2160" t="s">
        <v>399</v>
      </c>
      <c r="AD37" s="2161"/>
      <c r="AE37" s="2161"/>
      <c r="AF37" s="2161"/>
      <c r="AG37" s="2161"/>
      <c r="AH37" s="2162"/>
      <c r="AI37" s="2163" t="s">
        <v>401</v>
      </c>
      <c r="AJ37" s="2166" t="s">
        <v>402</v>
      </c>
      <c r="AK37" s="2019"/>
    </row>
    <row r="38" spans="1:42" ht="33.75" customHeight="1">
      <c r="Q38" s="304"/>
      <c r="R38" s="304"/>
      <c r="S38" s="2159"/>
      <c r="T38" s="2107"/>
      <c r="U38" s="940"/>
      <c r="V38" s="1395" t="s">
        <v>459</v>
      </c>
      <c r="W38" s="2001" t="s">
        <v>405</v>
      </c>
      <c r="X38" s="2000"/>
      <c r="Y38" s="2001" t="s">
        <v>406</v>
      </c>
      <c r="Z38" s="2006"/>
      <c r="AA38" s="2000"/>
      <c r="AB38" s="2164"/>
      <c r="AC38" s="1395" t="s">
        <v>459</v>
      </c>
      <c r="AD38" s="2001" t="s">
        <v>405</v>
      </c>
      <c r="AE38" s="2000"/>
      <c r="AF38" s="2001" t="s">
        <v>406</v>
      </c>
      <c r="AG38" s="2006"/>
      <c r="AH38" s="2000"/>
      <c r="AI38" s="2164"/>
      <c r="AJ38" s="2167"/>
      <c r="AK38" s="2019"/>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9"/>
      <c r="T39" s="2107"/>
      <c r="U39" s="219"/>
      <c r="V39" s="1395" t="s">
        <v>486</v>
      </c>
      <c r="W39" s="1130" t="s">
        <v>487</v>
      </c>
      <c r="X39" s="1130" t="s">
        <v>464</v>
      </c>
      <c r="Y39" s="1401" t="s">
        <v>416</v>
      </c>
      <c r="Z39" s="2112" t="s">
        <v>417</v>
      </c>
      <c r="AA39" s="2126"/>
      <c r="AB39" s="2165"/>
      <c r="AC39" s="1395" t="s">
        <v>486</v>
      </c>
      <c r="AD39" s="1130" t="s">
        <v>487</v>
      </c>
      <c r="AE39" s="1130" t="s">
        <v>464</v>
      </c>
      <c r="AF39" s="1401" t="s">
        <v>416</v>
      </c>
      <c r="AG39" s="2112" t="s">
        <v>417</v>
      </c>
      <c r="AH39" s="2126"/>
      <c r="AI39" s="2165"/>
      <c r="AJ39" s="2168"/>
      <c r="AK39" s="2019"/>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7">
        <f ca="1">OFFSET(Z40,0,-1)+1</f>
        <v>7</v>
      </c>
      <c r="AA40" s="2157"/>
      <c r="AB40" s="1394">
        <f ca="1">OFFSET(AB40,0,-2)+1</f>
        <v>8</v>
      </c>
      <c r="AC40" s="1394">
        <f ca="1">OFFSET(AC40,0,-1)+1</f>
        <v>9</v>
      </c>
      <c r="AD40" s="1394">
        <f ca="1">OFFSET(AD40,0,-1)+1</f>
        <v>10</v>
      </c>
      <c r="AE40" s="1394">
        <f ca="1">OFFSET(AE40,0,-1)+1</f>
        <v>11</v>
      </c>
      <c r="AF40" s="1394">
        <f ca="1">OFFSET(AF40,0,-1)+1</f>
        <v>12</v>
      </c>
      <c r="AG40" s="2157">
        <f ca="1">OFFSET(AG40,0,-1)+1</f>
        <v>13</v>
      </c>
      <c r="AH40" s="2157"/>
      <c r="AI40" s="1394">
        <f ca="1">OFFSET(AI40,0,-2)+1</f>
        <v>14</v>
      </c>
      <c r="AJ40" s="1156">
        <f ca="1">OFFSET(AJ40,0,-1)</f>
        <v>14</v>
      </c>
      <c r="AK40" s="1394">
        <f ca="1">OFFSET(AK40,0,-1)+1</f>
        <v>15</v>
      </c>
      <c r="AL40" s="436"/>
      <c r="AM40" s="436"/>
      <c r="AN40" s="436"/>
      <c r="AO40" s="436"/>
      <c r="AP40" s="436"/>
    </row>
    <row r="41" spans="1:42" ht="23.25" customHeight="1">
      <c r="A41" s="1281" t="s">
        <v>234</v>
      </c>
      <c r="B41" s="1281"/>
      <c r="C41" s="1281"/>
      <c r="D41" s="1281"/>
      <c r="E41" s="2146">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40"/>
      <c r="W41" s="2141"/>
      <c r="X41" s="2141"/>
      <c r="Y41" s="2141"/>
      <c r="Z41" s="2141"/>
      <c r="AA41" s="2141"/>
      <c r="AB41" s="2142"/>
      <c r="AC41" s="2140" t="str">
        <f>INDEX(PT_DIFFERENTIATION_NTAR,MATCH(A41,PT_DIFFERENTIATION_NTAR_ID,0))</f>
        <v/>
      </c>
      <c r="AD41" s="2141"/>
      <c r="AE41" s="2141"/>
      <c r="AF41" s="2141"/>
      <c r="AG41" s="2141"/>
      <c r="AH41" s="2141"/>
      <c r="AI41" s="2141"/>
      <c r="AJ41" s="2142"/>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234</v>
      </c>
      <c r="B42" s="1281" t="s">
        <v>235</v>
      </c>
      <c r="C42" s="1281"/>
      <c r="D42" s="1281"/>
      <c r="E42" s="2147"/>
      <c r="F42" s="2146">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40"/>
      <c r="W42" s="2141"/>
      <c r="X42" s="2141"/>
      <c r="Y42" s="2141"/>
      <c r="Z42" s="2141"/>
      <c r="AA42" s="2141"/>
      <c r="AB42" s="2142"/>
      <c r="AC42" s="2140" t="str">
        <f>INDEX(PT_DIFFERENTIATION_TER,MATCH(B42,PT_DIFFERENTIATION_TER_ID,0))</f>
        <v/>
      </c>
      <c r="AD42" s="2141"/>
      <c r="AE42" s="2141"/>
      <c r="AF42" s="2141"/>
      <c r="AG42" s="2141"/>
      <c r="AH42" s="2141"/>
      <c r="AI42" s="2141"/>
      <c r="AJ42" s="2142"/>
      <c r="AK42" s="1179" t="s">
        <v>368</v>
      </c>
      <c r="AM42" s="425"/>
      <c r="AN42" s="425" t="str">
        <f t="shared" si="1"/>
        <v>Территория действия тарифа</v>
      </c>
      <c r="AO42" s="425"/>
      <c r="AP42" s="425"/>
    </row>
    <row r="43" spans="1:42" ht="23.25" customHeight="1">
      <c r="A43" s="1281" t="s">
        <v>234</v>
      </c>
      <c r="B43" s="1281" t="s">
        <v>235</v>
      </c>
      <c r="C43" s="1281" t="s">
        <v>236</v>
      </c>
      <c r="D43" s="1281"/>
      <c r="E43" s="2147"/>
      <c r="F43" s="2147"/>
      <c r="G43" s="2146">
        <v>1</v>
      </c>
      <c r="H43" s="1281"/>
      <c r="I43" s="1281"/>
      <c r="J43" s="1281"/>
      <c r="K43" s="1281"/>
      <c r="L43" s="1282"/>
      <c r="M43" s="1283"/>
      <c r="N43" s="1283"/>
      <c r="O43" s="1283"/>
      <c r="P43" s="278"/>
      <c r="Q43" s="276"/>
      <c r="R43" s="277"/>
      <c r="S43" s="1405" t="str">
        <f>INDEX(PT_DIFFERENTIATION_NUM_CS,MATCH(C43,PT_DIFFERENTIATION_CS_ID,0))</f>
        <v>..</v>
      </c>
      <c r="T43" s="228" t="s">
        <v>484</v>
      </c>
      <c r="U43" s="217"/>
      <c r="V43" s="2140"/>
      <c r="W43" s="2141"/>
      <c r="X43" s="2141"/>
      <c r="Y43" s="2141"/>
      <c r="Z43" s="2141"/>
      <c r="AA43" s="2141"/>
      <c r="AB43" s="2142"/>
      <c r="AC43" s="2140" t="str">
        <f>INDEX(PT_DIFFERENTIATION_CS,MATCH(C43,PT_DIFFERENTIATION_CS_ID,0))</f>
        <v/>
      </c>
      <c r="AD43" s="2141"/>
      <c r="AE43" s="2141"/>
      <c r="AF43" s="2141"/>
      <c r="AG43" s="2141"/>
      <c r="AH43" s="2141"/>
      <c r="AI43" s="2141"/>
      <c r="AJ43" s="2142"/>
      <c r="AK43" s="1179" t="s">
        <v>485</v>
      </c>
      <c r="AM43" s="425"/>
      <c r="AN43" s="425" t="str">
        <f t="shared" si="1"/>
        <v>Наименование централизованной системы водоотведения</v>
      </c>
      <c r="AO43" s="425"/>
      <c r="AP43" s="425"/>
    </row>
    <row r="44" spans="1:42" ht="23.25" customHeight="1">
      <c r="A44" s="1281" t="s">
        <v>234</v>
      </c>
      <c r="B44" s="1281" t="s">
        <v>235</v>
      </c>
      <c r="C44" s="1281" t="s">
        <v>236</v>
      </c>
      <c r="D44" s="1281" t="s">
        <v>488</v>
      </c>
      <c r="E44" s="2147"/>
      <c r="F44" s="2147"/>
      <c r="G44" s="2147"/>
      <c r="H44" s="2147"/>
      <c r="I44" s="2148" t="str">
        <f>S43&amp;".1"</f>
        <v>...1</v>
      </c>
      <c r="J44" s="1281"/>
      <c r="K44" s="1281"/>
      <c r="L44" s="1282"/>
      <c r="P44" s="2150">
        <v>1</v>
      </c>
      <c r="Q44" s="1393"/>
      <c r="R44" s="280"/>
      <c r="S44" s="1405"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234</v>
      </c>
      <c r="B45" s="1281" t="s">
        <v>235</v>
      </c>
      <c r="C45" s="1281" t="s">
        <v>236</v>
      </c>
      <c r="D45" s="1281" t="s">
        <v>488</v>
      </c>
      <c r="E45" s="2147"/>
      <c r="F45" s="2147"/>
      <c r="G45" s="2147"/>
      <c r="H45" s="2147"/>
      <c r="I45" s="2149"/>
      <c r="J45" s="2148" t="str">
        <f>I44&amp;".1"</f>
        <v>...1.1</v>
      </c>
      <c r="K45" s="1281"/>
      <c r="L45" s="1282" t="s">
        <v>376</v>
      </c>
      <c r="P45" s="2150"/>
      <c r="Q45" s="2150">
        <v>1</v>
      </c>
      <c r="R45" s="281"/>
      <c r="S45" s="1405" t="str">
        <f>$J45</f>
        <v>...1.1</v>
      </c>
      <c r="T45" s="203" t="s">
        <v>377</v>
      </c>
      <c r="U45" s="217"/>
      <c r="V45" s="2134"/>
      <c r="W45" s="2135"/>
      <c r="X45" s="2135"/>
      <c r="Y45" s="2135"/>
      <c r="Z45" s="2135"/>
      <c r="AA45" s="2135"/>
      <c r="AB45" s="2136"/>
      <c r="AC45" s="2134"/>
      <c r="AD45" s="2135"/>
      <c r="AE45" s="2135"/>
      <c r="AF45" s="2135"/>
      <c r="AG45" s="2135"/>
      <c r="AH45" s="2135"/>
      <c r="AI45" s="2135"/>
      <c r="AJ45" s="2136"/>
      <c r="AK45" s="1228" t="s">
        <v>455</v>
      </c>
      <c r="AM45" s="425"/>
      <c r="AN45" s="425" t="str">
        <f t="shared" si="1"/>
        <v>Группа потребителей</v>
      </c>
      <c r="AO45" s="425"/>
      <c r="AP45" s="425"/>
    </row>
    <row r="46" spans="1:42" ht="23.25" customHeight="1">
      <c r="A46" s="1281" t="s">
        <v>234</v>
      </c>
      <c r="B46" s="1281" t="s">
        <v>235</v>
      </c>
      <c r="C46" s="1281" t="s">
        <v>236</v>
      </c>
      <c r="D46" s="1281" t="s">
        <v>488</v>
      </c>
      <c r="E46" s="2147"/>
      <c r="F46" s="2147"/>
      <c r="G46" s="2147"/>
      <c r="H46" s="2147"/>
      <c r="I46" s="2149"/>
      <c r="J46" s="2149"/>
      <c r="K46" s="2148" t="str">
        <f>J45&amp;".1"</f>
        <v>...1.1.1</v>
      </c>
      <c r="L46" s="1282"/>
      <c r="P46" s="2150"/>
      <c r="Q46" s="2150"/>
      <c r="R46" s="281">
        <v>1</v>
      </c>
      <c r="S46" s="1405" t="str">
        <f>$K46</f>
        <v>...1.1.1</v>
      </c>
      <c r="T46" s="1354"/>
      <c r="U46" s="217"/>
      <c r="V46" s="1278"/>
      <c r="W46" s="1278"/>
      <c r="X46" s="1279"/>
      <c r="Y46" s="2144"/>
      <c r="Z46" s="2143" t="s">
        <v>50</v>
      </c>
      <c r="AA46" s="2144"/>
      <c r="AB46" s="2143" t="s">
        <v>50</v>
      </c>
      <c r="AC46" s="668"/>
      <c r="AD46" s="668"/>
      <c r="AE46" s="1178"/>
      <c r="AF46" s="2151"/>
      <c r="AG46" s="2029" t="s">
        <v>50</v>
      </c>
      <c r="AH46" s="2153"/>
      <c r="AI46" s="2029" t="s">
        <v>48</v>
      </c>
      <c r="AJ46" s="1355"/>
      <c r="AK46"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234</v>
      </c>
      <c r="B47" s="1281" t="s">
        <v>235</v>
      </c>
      <c r="C47" s="1281" t="s">
        <v>236</v>
      </c>
      <c r="D47" s="1281" t="s">
        <v>488</v>
      </c>
      <c r="E47" s="2147"/>
      <c r="F47" s="2147"/>
      <c r="G47" s="2147"/>
      <c r="H47" s="2147"/>
      <c r="I47" s="2149"/>
      <c r="J47" s="2149"/>
      <c r="K47" s="2148"/>
      <c r="L47" s="1282"/>
      <c r="P47" s="2150"/>
      <c r="Q47" s="2150"/>
      <c r="R47" s="281"/>
      <c r="S47" s="1402"/>
      <c r="T47" s="217"/>
      <c r="U47" s="217"/>
      <c r="V47" s="1278"/>
      <c r="W47" s="1278"/>
      <c r="X47" s="253" t="str">
        <f>Y46&amp;"-"&amp;AA46</f>
        <v>-</v>
      </c>
      <c r="Y47" s="2143"/>
      <c r="Z47" s="2143"/>
      <c r="AA47" s="2143"/>
      <c r="AB47" s="2143"/>
      <c r="AC47" s="249"/>
      <c r="AD47" s="249"/>
      <c r="AE47" s="253" t="str">
        <f>AF46&amp;"-"&amp;AH46</f>
        <v>-</v>
      </c>
      <c r="AF47" s="2152"/>
      <c r="AG47" s="2029"/>
      <c r="AH47" s="2154"/>
      <c r="AI47" s="2029"/>
      <c r="AJ47" s="1356"/>
      <c r="AK47" s="2212"/>
      <c r="AM47" s="425"/>
      <c r="AN47" s="425" t="str">
        <f t="shared" si="1"/>
        <v/>
      </c>
      <c r="AO47" s="425"/>
      <c r="AP47" s="425"/>
    </row>
    <row r="48" spans="1:42" ht="21" customHeight="1">
      <c r="A48" s="1281" t="s">
        <v>234</v>
      </c>
      <c r="B48" s="1281" t="s">
        <v>235</v>
      </c>
      <c r="C48" s="1281" t="s">
        <v>236</v>
      </c>
      <c r="D48" s="1281" t="s">
        <v>488</v>
      </c>
      <c r="E48" s="2147"/>
      <c r="F48" s="2147"/>
      <c r="G48" s="2147"/>
      <c r="H48" s="2147"/>
      <c r="I48" s="2149"/>
      <c r="J48" s="2148"/>
      <c r="K48" s="1281"/>
      <c r="L48" s="1282"/>
      <c r="P48" s="2150"/>
      <c r="Q48" s="2150"/>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234</v>
      </c>
      <c r="B49" s="1281" t="s">
        <v>235</v>
      </c>
      <c r="C49" s="1281" t="s">
        <v>236</v>
      </c>
      <c r="D49" s="1281" t="s">
        <v>488</v>
      </c>
      <c r="E49" s="2147"/>
      <c r="F49" s="2147"/>
      <c r="G49" s="2147"/>
      <c r="H49" s="2147"/>
      <c r="I49" s="2148"/>
      <c r="J49" s="1281"/>
      <c r="K49" s="1281"/>
      <c r="L49" s="1282"/>
      <c r="P49" s="2150"/>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234</v>
      </c>
      <c r="B50" s="1281" t="s">
        <v>235</v>
      </c>
      <c r="C50" s="1281" t="s">
        <v>236</v>
      </c>
      <c r="D50" s="1281" t="s">
        <v>488</v>
      </c>
      <c r="E50" s="2147"/>
      <c r="F50" s="2147"/>
      <c r="G50" s="2147"/>
      <c r="H50" s="2146"/>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234</v>
      </c>
      <c r="B51" s="1262" t="s">
        <v>235</v>
      </c>
      <c r="C51" s="1234"/>
      <c r="D51" s="1234"/>
      <c r="E51" s="2147"/>
      <c r="F51" s="2146"/>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234</v>
      </c>
      <c r="B52" s="1262"/>
      <c r="C52" s="1262"/>
      <c r="D52" s="1262"/>
      <c r="E52" s="2146"/>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5"/>
      <c r="U55" s="2145"/>
      <c r="V55" s="2145"/>
      <c r="W55" s="2145"/>
      <c r="X55" s="2145"/>
      <c r="Y55" s="2145"/>
      <c r="Z55" s="2145"/>
      <c r="AA55" s="2145"/>
      <c r="AB55" s="2145"/>
      <c r="AC55" s="2145"/>
      <c r="AD55" s="2145"/>
      <c r="AE55" s="2145"/>
      <c r="AF55" s="2145"/>
      <c r="AG55" s="2145"/>
      <c r="AH55" s="2145"/>
      <c r="AI55" s="2145"/>
      <c r="AJ55" s="2145"/>
      <c r="AK55" s="2145"/>
    </row>
    <row r="56" spans="1:42" ht="14.25" customHeight="1">
      <c r="O56" s="461"/>
    </row>
    <row r="57" spans="1:42" ht="14.25" customHeight="1">
      <c r="O57" s="461"/>
      <c r="S57" s="1166"/>
      <c r="T57" s="2145"/>
      <c r="U57" s="2145"/>
      <c r="V57" s="2145"/>
      <c r="W57" s="2145"/>
      <c r="X57" s="2145"/>
      <c r="Y57" s="2145"/>
      <c r="Z57" s="2145"/>
      <c r="AA57" s="2145"/>
      <c r="AB57" s="2145"/>
      <c r="AC57" s="2145"/>
      <c r="AD57" s="2145"/>
      <c r="AE57" s="2145"/>
      <c r="AF57" s="2145"/>
      <c r="AG57" s="2145"/>
      <c r="AH57" s="2145"/>
      <c r="AI57" s="2145"/>
      <c r="AJ57" s="2145"/>
      <c r="AK57" s="2145"/>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6">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40"/>
      <c r="W2" s="2141"/>
      <c r="X2" s="2141"/>
      <c r="Y2" s="2141"/>
      <c r="Z2" s="2141"/>
      <c r="AA2" s="2141"/>
      <c r="AB2" s="2142"/>
      <c r="AC2" s="2140" t="e">
        <f>INDEX(PT_DIFFERENTIATION_NTAR,MATCH(A2,PT_DIFFERENTIATION_NTAR_ID,0))</f>
        <v>#N/A</v>
      </c>
      <c r="AD2" s="2141"/>
      <c r="AE2" s="2141"/>
      <c r="AF2" s="2141"/>
      <c r="AG2" s="2141"/>
      <c r="AH2" s="2141"/>
      <c r="AI2" s="2141"/>
      <c r="AJ2" s="2142"/>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7"/>
      <c r="F3" s="2146">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40"/>
      <c r="W3" s="2141"/>
      <c r="X3" s="2141"/>
      <c r="Y3" s="2141"/>
      <c r="Z3" s="2141"/>
      <c r="AA3" s="2141"/>
      <c r="AB3" s="2142"/>
      <c r="AC3" s="2140" t="e">
        <f>INDEX(PT_DIFFERENTIATION_TER,MATCH(B3,PT_DIFFERENTIATION_TER_ID,0))</f>
        <v>#N/A</v>
      </c>
      <c r="AD3" s="2141"/>
      <c r="AE3" s="2141"/>
      <c r="AF3" s="2141"/>
      <c r="AG3" s="2141"/>
      <c r="AH3" s="2141"/>
      <c r="AI3" s="2141"/>
      <c r="AJ3" s="2142"/>
      <c r="AK3" s="1179" t="s">
        <v>368</v>
      </c>
      <c r="AM3" s="425"/>
      <c r="AN3" s="425" t="str">
        <f t="shared" si="0"/>
        <v>Территория действия тарифа</v>
      </c>
      <c r="AO3" s="425"/>
      <c r="AP3" s="425"/>
    </row>
    <row r="4" spans="1:42" ht="23.25" hidden="1" customHeight="1">
      <c r="A4" s="1281"/>
      <c r="B4" s="1281"/>
      <c r="C4" s="1281"/>
      <c r="D4" s="1281"/>
      <c r="E4" s="2147"/>
      <c r="F4" s="2147"/>
      <c r="G4" s="2146">
        <v>1</v>
      </c>
      <c r="H4" s="1281"/>
      <c r="I4" s="1281"/>
      <c r="J4" s="1281"/>
      <c r="K4" s="1281"/>
      <c r="L4" s="1282"/>
      <c r="M4" s="1283"/>
      <c r="N4" s="1283"/>
      <c r="O4" s="1283"/>
      <c r="P4" s="278"/>
      <c r="Q4" s="276"/>
      <c r="R4" s="277"/>
      <c r="S4" s="1405" t="e">
        <f>INDEX(PT_DIFFERENTIATION_NUM_CS,MATCH(C4,PT_DIFFERENTIATION_CS_ID,0))</f>
        <v>#N/A</v>
      </c>
      <c r="T4" s="228" t="s">
        <v>484</v>
      </c>
      <c r="U4" s="217"/>
      <c r="V4" s="2140"/>
      <c r="W4" s="2141"/>
      <c r="X4" s="2141"/>
      <c r="Y4" s="2141"/>
      <c r="Z4" s="2141"/>
      <c r="AA4" s="2141"/>
      <c r="AB4" s="2142"/>
      <c r="AC4" s="2140" t="e">
        <f>INDEX(PT_DIFFERENTIATION_CS,MATCH(C4,PT_DIFFERENTIATION_CS_ID,0))</f>
        <v>#N/A</v>
      </c>
      <c r="AD4" s="2141"/>
      <c r="AE4" s="2141"/>
      <c r="AF4" s="2141"/>
      <c r="AG4" s="2141"/>
      <c r="AH4" s="2141"/>
      <c r="AI4" s="2141"/>
      <c r="AJ4" s="2142"/>
      <c r="AK4" s="1179" t="s">
        <v>485</v>
      </c>
      <c r="AM4" s="425"/>
      <c r="AN4" s="425" t="str">
        <f t="shared" si="0"/>
        <v>Наименование централизованной системы водоотведения</v>
      </c>
      <c r="AO4" s="425"/>
      <c r="AP4" s="425"/>
    </row>
    <row r="5" spans="1:42" ht="23.25" hidden="1" customHeight="1">
      <c r="A5" s="1281"/>
      <c r="B5" s="1281"/>
      <c r="C5" s="1281"/>
      <c r="D5" s="1281"/>
      <c r="E5" s="2147"/>
      <c r="F5" s="2147"/>
      <c r="G5" s="2147"/>
      <c r="H5" s="2147"/>
      <c r="I5" s="2148" t="e">
        <f>S4&amp;".1"</f>
        <v>#N/A</v>
      </c>
      <c r="J5" s="1281"/>
      <c r="K5" s="1281"/>
      <c r="L5" s="1282"/>
      <c r="P5" s="2150">
        <v>1</v>
      </c>
      <c r="Q5" s="1393"/>
      <c r="R5" s="280"/>
      <c r="S5" s="1405"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7"/>
      <c r="F6" s="2147"/>
      <c r="G6" s="2147"/>
      <c r="H6" s="2147"/>
      <c r="I6" s="2149"/>
      <c r="J6" s="2148" t="e">
        <f>I5&amp;".1"</f>
        <v>#N/A</v>
      </c>
      <c r="K6" s="1281"/>
      <c r="L6" s="1282" t="s">
        <v>376</v>
      </c>
      <c r="P6" s="2150"/>
      <c r="Q6" s="2150">
        <v>1</v>
      </c>
      <c r="R6" s="281"/>
      <c r="S6" s="1405" t="e">
        <f>$J6</f>
        <v>#N/A</v>
      </c>
      <c r="T6" s="203" t="s">
        <v>377</v>
      </c>
      <c r="U6" s="217"/>
      <c r="V6" s="2134"/>
      <c r="W6" s="2135"/>
      <c r="X6" s="2135"/>
      <c r="Y6" s="2135"/>
      <c r="Z6" s="2135"/>
      <c r="AA6" s="2135"/>
      <c r="AB6" s="2136"/>
      <c r="AC6" s="2134"/>
      <c r="AD6" s="2135"/>
      <c r="AE6" s="2135"/>
      <c r="AF6" s="2135"/>
      <c r="AG6" s="2135"/>
      <c r="AH6" s="2135"/>
      <c r="AI6" s="2135"/>
      <c r="AJ6" s="2136"/>
      <c r="AK6" s="1228" t="s">
        <v>455</v>
      </c>
      <c r="AM6" s="425"/>
      <c r="AN6" s="425" t="str">
        <f t="shared" si="0"/>
        <v>Группа потребителей</v>
      </c>
      <c r="AO6" s="425"/>
      <c r="AP6" s="425"/>
    </row>
    <row r="7" spans="1:42" ht="23.25" hidden="1" customHeight="1">
      <c r="A7" s="1281"/>
      <c r="B7" s="1281"/>
      <c r="C7" s="1281"/>
      <c r="D7" s="1281"/>
      <c r="E7" s="2147"/>
      <c r="F7" s="2147"/>
      <c r="G7" s="2147"/>
      <c r="H7" s="2147"/>
      <c r="I7" s="2149"/>
      <c r="J7" s="2149"/>
      <c r="K7" s="2148" t="e">
        <f>J6&amp;".1"</f>
        <v>#N/A</v>
      </c>
      <c r="L7" s="1282"/>
      <c r="P7" s="2150"/>
      <c r="Q7" s="2150"/>
      <c r="R7" s="281">
        <v>1</v>
      </c>
      <c r="S7" s="1405" t="e">
        <f>$K7</f>
        <v>#N/A</v>
      </c>
      <c r="T7" s="1354"/>
      <c r="U7" s="217"/>
      <c r="V7" s="668"/>
      <c r="W7" s="668"/>
      <c r="X7" s="1178"/>
      <c r="Y7" s="2151"/>
      <c r="Z7" s="2029" t="s">
        <v>50</v>
      </c>
      <c r="AA7" s="2151"/>
      <c r="AB7" s="2029" t="s">
        <v>50</v>
      </c>
      <c r="AC7" s="668"/>
      <c r="AD7" s="668"/>
      <c r="AE7" s="1178"/>
      <c r="AF7" s="2151"/>
      <c r="AG7" s="2029" t="s">
        <v>50</v>
      </c>
      <c r="AH7" s="2153"/>
      <c r="AI7" s="2029" t="s">
        <v>50</v>
      </c>
      <c r="AJ7" s="1355"/>
      <c r="AK7"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7"/>
      <c r="F8" s="2147"/>
      <c r="G8" s="2147"/>
      <c r="H8" s="2147"/>
      <c r="I8" s="2149"/>
      <c r="J8" s="2149"/>
      <c r="K8" s="2148"/>
      <c r="L8" s="1282"/>
      <c r="P8" s="2150"/>
      <c r="Q8" s="2150"/>
      <c r="R8" s="281"/>
      <c r="S8" s="1402"/>
      <c r="T8" s="217"/>
      <c r="U8" s="217"/>
      <c r="V8" s="249"/>
      <c r="W8" s="249"/>
      <c r="X8" s="253" t="str">
        <f>Y7&amp;"-"&amp;AA7</f>
        <v>-</v>
      </c>
      <c r="Y8" s="2152"/>
      <c r="Z8" s="2029"/>
      <c r="AA8" s="2152"/>
      <c r="AB8" s="2029"/>
      <c r="AC8" s="249"/>
      <c r="AD8" s="249"/>
      <c r="AE8" s="253" t="str">
        <f>AF7&amp;"-"&amp;AH7</f>
        <v>-</v>
      </c>
      <c r="AF8" s="2152"/>
      <c r="AG8" s="2029"/>
      <c r="AH8" s="2154"/>
      <c r="AI8" s="2029"/>
      <c r="AJ8" s="1356"/>
      <c r="AK8" s="2212"/>
      <c r="AM8" s="425"/>
      <c r="AN8" s="425" t="str">
        <f t="shared" si="0"/>
        <v/>
      </c>
      <c r="AO8" s="425"/>
      <c r="AP8" s="425"/>
    </row>
    <row r="9" spans="1:42" ht="21" hidden="1" customHeight="1">
      <c r="A9" s="1281"/>
      <c r="B9" s="1281"/>
      <c r="C9" s="1281"/>
      <c r="D9" s="1281"/>
      <c r="E9" s="2147"/>
      <c r="F9" s="2147"/>
      <c r="G9" s="2147"/>
      <c r="H9" s="2147"/>
      <c r="I9" s="2149"/>
      <c r="J9" s="2148"/>
      <c r="K9" s="1281"/>
      <c r="L9" s="1282"/>
      <c r="P9" s="2150"/>
      <c r="Q9" s="2150"/>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7"/>
      <c r="F10" s="2147"/>
      <c r="G10" s="2147"/>
      <c r="H10" s="2147"/>
      <c r="I10" s="2148"/>
      <c r="J10" s="1281"/>
      <c r="K10" s="1281"/>
      <c r="L10" s="1282"/>
      <c r="P10" s="2150"/>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7"/>
      <c r="F11" s="2147"/>
      <c r="G11" s="2147"/>
      <c r="H11" s="2146"/>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7"/>
      <c r="F12" s="2146"/>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6"/>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4"/>
      <c r="AG15" s="2143" t="s">
        <v>50</v>
      </c>
      <c r="AH15" s="2144"/>
      <c r="AI15" s="2143" t="s">
        <v>50</v>
      </c>
    </row>
    <row r="16" spans="1:42" ht="14.25" hidden="1" customHeight="1">
      <c r="AC16" s="1278"/>
      <c r="AD16" s="1278"/>
      <c r="AE16" s="253" t="str">
        <f>AF15&amp;"-"&amp;AH15</f>
        <v>-</v>
      </c>
      <c r="AF16" s="2143"/>
      <c r="AG16" s="2143"/>
      <c r="AH16" s="2143"/>
      <c r="AI16" s="2143"/>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2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27"/>
      <c r="U24" s="2127"/>
      <c r="V24" s="2127"/>
      <c r="W24" s="2127"/>
      <c r="X24" s="2127"/>
      <c r="Y24" s="2127"/>
      <c r="Z24" s="2127"/>
      <c r="AA24" s="2127"/>
      <c r="AB24" s="2127"/>
      <c r="AC24" s="2127"/>
      <c r="AD24" s="2127"/>
      <c r="AE24" s="2127"/>
      <c r="AF24" s="2127"/>
      <c r="AG24" s="2127"/>
      <c r="AH24" s="2127"/>
      <c r="AI24" s="1154"/>
    </row>
    <row r="25" spans="1:42" ht="14.25" customHeight="1">
      <c r="Q25" s="304"/>
      <c r="R25" s="304"/>
      <c r="S25" s="2098" t="str">
        <f>IF(org=0,"Не определено",org)</f>
        <v>ООО "Горводоканал"</v>
      </c>
      <c r="T25" s="2098"/>
      <c r="U25" s="2098"/>
      <c r="V25" s="2098"/>
      <c r="W25" s="2098"/>
      <c r="X25" s="2098"/>
      <c r="Y25" s="2098"/>
      <c r="Z25" s="2098"/>
      <c r="AA25" s="2098"/>
      <c r="AB25" s="2098"/>
      <c r="AC25" s="2098"/>
      <c r="AD25" s="2098"/>
      <c r="AE25" s="2098"/>
      <c r="AF25" s="2098"/>
      <c r="AG25" s="2098"/>
      <c r="AH25" s="2098"/>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7" t="s">
        <v>37</v>
      </c>
      <c r="T27" s="2137"/>
      <c r="U27" s="1290"/>
      <c r="V27" s="2139" t="str">
        <f>IF(TITLE_NAME_OR_PR_CHANGE="",IF(TITLE_NAME_OR_PR="","",TITLE_NAME_OR_PR),TITLE_NAME_OR_PR_CHANGE)</f>
        <v/>
      </c>
      <c r="W27" s="2139"/>
      <c r="X27" s="2139"/>
      <c r="Y27" s="2139"/>
      <c r="Z27" s="2139"/>
      <c r="AA27" s="2139"/>
      <c r="AB27" s="251"/>
      <c r="AC27" s="2139" t="str">
        <f>IF(TITLE_NAME_OR_PR_CHANGE="",IF(TITLE_NAME_OR_PR="","",TITLE_NAME_OR_PR),TITLE_NAME_OR_PR_CHANGE)</f>
        <v/>
      </c>
      <c r="AD27" s="2139"/>
      <c r="AE27" s="2139"/>
      <c r="AF27" s="2139"/>
      <c r="AG27" s="2139"/>
      <c r="AH27" s="2139"/>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7" t="s">
        <v>393</v>
      </c>
      <c r="T28" s="2137"/>
      <c r="U28" s="1290"/>
      <c r="V28" s="2138" t="str">
        <f>IF(TITLE_DATE_PR_CHANGE="",IF(TITLE_DATE_PR="","",TITLE_DATE_PR),TITLE_DATE_PR_CHANGE)</f>
        <v/>
      </c>
      <c r="W28" s="2138"/>
      <c r="X28" s="2138"/>
      <c r="Y28" s="2138"/>
      <c r="Z28" s="2138"/>
      <c r="AA28" s="2138"/>
      <c r="AB28" s="251"/>
      <c r="AC28" s="2138" t="str">
        <f>IF(TITLE_DATE_PR_CHANGE="",IF(TITLE_DATE_PR="","",TITLE_DATE_PR),TITLE_DATE_PR_CHANGE)</f>
        <v/>
      </c>
      <c r="AD28" s="2138"/>
      <c r="AE28" s="2138"/>
      <c r="AF28" s="2138"/>
      <c r="AG28" s="2138"/>
      <c r="AH28" s="2138"/>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7" t="s">
        <v>394</v>
      </c>
      <c r="T29" s="2137"/>
      <c r="U29" s="1290"/>
      <c r="V29" s="2139" t="str">
        <f>IF(TITLE_NUMBER_PR_CHANGE="",IF(TITLE_NUMBER_PR="","",TITLE_NUMBER_PR),TITLE_NUMBER_PR_CHANGE)</f>
        <v/>
      </c>
      <c r="W29" s="2139"/>
      <c r="X29" s="2139"/>
      <c r="Y29" s="2139"/>
      <c r="Z29" s="2139"/>
      <c r="AA29" s="2139"/>
      <c r="AB29" s="251"/>
      <c r="AC29" s="2139" t="str">
        <f>IF(TITLE_NUMBER_PR_CHANGE="",IF(TITLE_NUMBER_PR="","",TITLE_NUMBER_PR),TITLE_NUMBER_PR_CHANGE)</f>
        <v/>
      </c>
      <c r="AD29" s="2139"/>
      <c r="AE29" s="2139"/>
      <c r="AF29" s="2139"/>
      <c r="AG29" s="2139"/>
      <c r="AH29" s="2139"/>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7" t="s">
        <v>38</v>
      </c>
      <c r="T30" s="2137"/>
      <c r="U30" s="1290"/>
      <c r="V30" s="2139" t="str">
        <f>IF(TITLE_IST_PUB_CHANGE="",IF(TITLE_IST_PUB="","",TITLE_IST_PUB),TITLE_IST_PUB_CHANGE)</f>
        <v/>
      </c>
      <c r="W30" s="2139"/>
      <c r="X30" s="2139"/>
      <c r="Y30" s="2139"/>
      <c r="Z30" s="2139"/>
      <c r="AA30" s="2139"/>
      <c r="AB30" s="251"/>
      <c r="AC30" s="2139" t="str">
        <f>IF(TITLE_IST_PUB_CHANGE="",IF(TITLE_IST_PUB="","",TITLE_IST_PUB),TITLE_IST_PUB_CHANGE)</f>
        <v/>
      </c>
      <c r="AD30" s="2139"/>
      <c r="AE30" s="2139"/>
      <c r="AF30" s="2139"/>
      <c r="AG30" s="2139"/>
      <c r="AH30" s="2139"/>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7" t="s">
        <v>395</v>
      </c>
      <c r="T32" s="2137"/>
      <c r="U32" s="1290"/>
      <c r="V32" s="2138" t="str">
        <f>IF(TITLE_DATE_PR_CHANGE="",IF(TITLE_DATE_PR="","",TITLE_DATE_PR),TITLE_DATE_PR_CHANGE)</f>
        <v/>
      </c>
      <c r="W32" s="2138"/>
      <c r="X32" s="2138"/>
      <c r="Y32" s="2138"/>
      <c r="Z32" s="2138"/>
      <c r="AA32" s="2138"/>
      <c r="AB32" s="251"/>
      <c r="AC32" s="2138" t="str">
        <f>IF(TITLE_DATE_PR_CHANGE="",IF(TITLE_DATE_PR="","",TITLE_DATE_PR),TITLE_DATE_PR_CHANGE)</f>
        <v/>
      </c>
      <c r="AD32" s="2138"/>
      <c r="AE32" s="2138"/>
      <c r="AF32" s="2138"/>
      <c r="AG32" s="2138"/>
      <c r="AH32" s="2138"/>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7" t="s">
        <v>396</v>
      </c>
      <c r="T33" s="2137"/>
      <c r="U33" s="1290"/>
      <c r="V33" s="2139" t="str">
        <f>IF(TITLE_NUMBER_PR_CHANGE="",IF(TITLE_NUMBER_PR="","",TITLE_NUMBER_PR),TITLE_NUMBER_PR_CHANGE)</f>
        <v/>
      </c>
      <c r="W33" s="2139"/>
      <c r="X33" s="2139"/>
      <c r="Y33" s="2139"/>
      <c r="Z33" s="2139"/>
      <c r="AA33" s="2139"/>
      <c r="AB33" s="251"/>
      <c r="AC33" s="2139" t="str">
        <f>IF(TITLE_NUMBER_PR_CHANGE="",IF(TITLE_NUMBER_PR="","",TITLE_NUMBER_PR),TITLE_NUMBER_PR_CHANGE)</f>
        <v/>
      </c>
      <c r="AD33" s="2139"/>
      <c r="AE33" s="2139"/>
      <c r="AF33" s="2139"/>
      <c r="AG33" s="2139"/>
      <c r="AH33" s="2139"/>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8"/>
      <c r="W35" s="2158"/>
      <c r="X35" s="2158"/>
      <c r="Y35" s="2158"/>
      <c r="Z35" s="2158"/>
      <c r="AA35" s="2158"/>
      <c r="AB35" s="2158"/>
      <c r="AC35" s="2158"/>
      <c r="AD35" s="2158"/>
      <c r="AE35" s="2158"/>
      <c r="AF35" s="2158"/>
      <c r="AG35" s="2158"/>
      <c r="AH35" s="2158"/>
      <c r="AI35" s="2158"/>
    </row>
    <row r="36" spans="1:42" ht="14.25" customHeight="1">
      <c r="Q36" s="304"/>
      <c r="R36" s="304"/>
      <c r="S36" s="2019" t="s">
        <v>268</v>
      </c>
      <c r="T36" s="2019"/>
      <c r="U36" s="2019"/>
      <c r="V36" s="2019"/>
      <c r="W36" s="2019"/>
      <c r="X36" s="2019"/>
      <c r="Y36" s="2019"/>
      <c r="Z36" s="2019"/>
      <c r="AA36" s="2019"/>
      <c r="AB36" s="2019"/>
      <c r="AC36" s="2019"/>
      <c r="AD36" s="2019"/>
      <c r="AE36" s="2019"/>
      <c r="AF36" s="2019"/>
      <c r="AG36" s="2019"/>
      <c r="AH36" s="2019"/>
      <c r="AI36" s="2019"/>
      <c r="AJ36" s="2019"/>
      <c r="AK36" s="2019" t="s">
        <v>269</v>
      </c>
    </row>
    <row r="37" spans="1:42" ht="14.25" customHeight="1">
      <c r="Q37" s="304"/>
      <c r="R37" s="304"/>
      <c r="S37" s="2159" t="s">
        <v>73</v>
      </c>
      <c r="T37" s="2107" t="s">
        <v>398</v>
      </c>
      <c r="U37" s="218"/>
      <c r="V37" s="2160" t="s">
        <v>399</v>
      </c>
      <c r="W37" s="2161"/>
      <c r="X37" s="2161"/>
      <c r="Y37" s="2161"/>
      <c r="Z37" s="2161"/>
      <c r="AA37" s="2162"/>
      <c r="AB37" s="2163" t="s">
        <v>400</v>
      </c>
      <c r="AC37" s="2160" t="s">
        <v>399</v>
      </c>
      <c r="AD37" s="2161"/>
      <c r="AE37" s="2161"/>
      <c r="AF37" s="2161"/>
      <c r="AG37" s="2161"/>
      <c r="AH37" s="2162"/>
      <c r="AI37" s="2163" t="s">
        <v>401</v>
      </c>
      <c r="AJ37" s="2166" t="s">
        <v>402</v>
      </c>
      <c r="AK37" s="2019"/>
    </row>
    <row r="38" spans="1:42" ht="33.75" customHeight="1">
      <c r="Q38" s="304"/>
      <c r="R38" s="304"/>
      <c r="S38" s="2159"/>
      <c r="T38" s="2107"/>
      <c r="U38" s="940"/>
      <c r="V38" s="1395" t="s">
        <v>459</v>
      </c>
      <c r="W38" s="2001" t="s">
        <v>405</v>
      </c>
      <c r="X38" s="2000"/>
      <c r="Y38" s="2001" t="s">
        <v>406</v>
      </c>
      <c r="Z38" s="2006"/>
      <c r="AA38" s="2000"/>
      <c r="AB38" s="2164"/>
      <c r="AC38" s="1395" t="s">
        <v>459</v>
      </c>
      <c r="AD38" s="2001" t="s">
        <v>405</v>
      </c>
      <c r="AE38" s="2000"/>
      <c r="AF38" s="2001" t="s">
        <v>406</v>
      </c>
      <c r="AG38" s="2006"/>
      <c r="AH38" s="2000"/>
      <c r="AI38" s="2164"/>
      <c r="AJ38" s="2167"/>
      <c r="AK38" s="2019"/>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9"/>
      <c r="T39" s="2107"/>
      <c r="U39" s="219"/>
      <c r="V39" s="1395" t="s">
        <v>486</v>
      </c>
      <c r="W39" s="1130" t="s">
        <v>487</v>
      </c>
      <c r="X39" s="1130" t="s">
        <v>464</v>
      </c>
      <c r="Y39" s="1401" t="s">
        <v>416</v>
      </c>
      <c r="Z39" s="2112" t="s">
        <v>417</v>
      </c>
      <c r="AA39" s="2126"/>
      <c r="AB39" s="2165"/>
      <c r="AC39" s="1395" t="s">
        <v>486</v>
      </c>
      <c r="AD39" s="1130" t="s">
        <v>487</v>
      </c>
      <c r="AE39" s="1130" t="s">
        <v>464</v>
      </c>
      <c r="AF39" s="1401" t="s">
        <v>416</v>
      </c>
      <c r="AG39" s="2112" t="s">
        <v>417</v>
      </c>
      <c r="AH39" s="2126"/>
      <c r="AI39" s="2165"/>
      <c r="AJ39" s="2168"/>
      <c r="AK39" s="2019"/>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7">
        <f ca="1">OFFSET(Z40,0,-1)+1</f>
        <v>7</v>
      </c>
      <c r="AA40" s="2157"/>
      <c r="AB40" s="1394">
        <f ca="1">OFFSET(AB40,0,-2)+1</f>
        <v>8</v>
      </c>
      <c r="AC40" s="1394">
        <f ca="1">OFFSET(AC40,0,-1)+1</f>
        <v>9</v>
      </c>
      <c r="AD40" s="1394">
        <f ca="1">OFFSET(AD40,0,-1)+1</f>
        <v>10</v>
      </c>
      <c r="AE40" s="1394">
        <f ca="1">OFFSET(AE40,0,-1)+1</f>
        <v>11</v>
      </c>
      <c r="AF40" s="1394">
        <f ca="1">OFFSET(AF40,0,-1)+1</f>
        <v>12</v>
      </c>
      <c r="AG40" s="2157">
        <f ca="1">OFFSET(AG40,0,-1)+1</f>
        <v>13</v>
      </c>
      <c r="AH40" s="2157"/>
      <c r="AI40" s="1394">
        <f ca="1">OFFSET(AI40,0,-2)+1</f>
        <v>14</v>
      </c>
      <c r="AJ40" s="1156">
        <f ca="1">OFFSET(AJ40,0,-1)</f>
        <v>14</v>
      </c>
      <c r="AK40" s="1394">
        <f ca="1">OFFSET(AK40,0,-1)+1</f>
        <v>15</v>
      </c>
      <c r="AL40" s="436"/>
      <c r="AM40" s="436"/>
      <c r="AN40" s="436"/>
      <c r="AO40" s="436"/>
      <c r="AP40" s="436"/>
    </row>
    <row r="41" spans="1:42" ht="23.25" customHeight="1">
      <c r="A41" s="1281" t="s">
        <v>239</v>
      </c>
      <c r="B41" s="1281"/>
      <c r="C41" s="1281"/>
      <c r="D41" s="1281"/>
      <c r="E41" s="2146">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40"/>
      <c r="W41" s="2141"/>
      <c r="X41" s="2141"/>
      <c r="Y41" s="2141"/>
      <c r="Z41" s="2141"/>
      <c r="AA41" s="2141"/>
      <c r="AB41" s="2142"/>
      <c r="AC41" s="2140" t="str">
        <f>INDEX(PT_DIFFERENTIATION_NTAR,MATCH(A41,PT_DIFFERENTIATION_NTAR_ID,0))</f>
        <v/>
      </c>
      <c r="AD41" s="2141"/>
      <c r="AE41" s="2141"/>
      <c r="AF41" s="2141"/>
      <c r="AG41" s="2141"/>
      <c r="AH41" s="2141"/>
      <c r="AI41" s="2141"/>
      <c r="AJ41" s="2142"/>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239</v>
      </c>
      <c r="B42" s="1281" t="s">
        <v>240</v>
      </c>
      <c r="C42" s="1281"/>
      <c r="D42" s="1281"/>
      <c r="E42" s="2147"/>
      <c r="F42" s="2146">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40"/>
      <c r="W42" s="2141"/>
      <c r="X42" s="2141"/>
      <c r="Y42" s="2141"/>
      <c r="Z42" s="2141"/>
      <c r="AA42" s="2141"/>
      <c r="AB42" s="2142"/>
      <c r="AC42" s="2140" t="str">
        <f>INDEX(PT_DIFFERENTIATION_TER,MATCH(B42,PT_DIFFERENTIATION_TER_ID,0))</f>
        <v/>
      </c>
      <c r="AD42" s="2141"/>
      <c r="AE42" s="2141"/>
      <c r="AF42" s="2141"/>
      <c r="AG42" s="2141"/>
      <c r="AH42" s="2141"/>
      <c r="AI42" s="2141"/>
      <c r="AJ42" s="2142"/>
      <c r="AK42" s="1179" t="s">
        <v>368</v>
      </c>
      <c r="AM42" s="425"/>
      <c r="AN42" s="425" t="str">
        <f t="shared" si="1"/>
        <v>Территория действия тарифа</v>
      </c>
      <c r="AO42" s="425"/>
      <c r="AP42" s="425"/>
    </row>
    <row r="43" spans="1:42" ht="23.25" customHeight="1">
      <c r="A43" s="1281" t="s">
        <v>239</v>
      </c>
      <c r="B43" s="1281" t="s">
        <v>240</v>
      </c>
      <c r="C43" s="1281" t="s">
        <v>241</v>
      </c>
      <c r="D43" s="1281"/>
      <c r="E43" s="2147"/>
      <c r="F43" s="2147"/>
      <c r="G43" s="2146">
        <v>1</v>
      </c>
      <c r="H43" s="1281"/>
      <c r="I43" s="1281"/>
      <c r="J43" s="1281"/>
      <c r="K43" s="1281"/>
      <c r="L43" s="1282"/>
      <c r="M43" s="1283"/>
      <c r="N43" s="1283"/>
      <c r="O43" s="1283"/>
      <c r="P43" s="278"/>
      <c r="Q43" s="276"/>
      <c r="R43" s="277"/>
      <c r="S43" s="1405" t="str">
        <f>INDEX(PT_DIFFERENTIATION_NUM_CS,MATCH(C43,PT_DIFFERENTIATION_CS_ID,0))</f>
        <v>..</v>
      </c>
      <c r="T43" s="228" t="s">
        <v>484</v>
      </c>
      <c r="U43" s="217"/>
      <c r="V43" s="2140"/>
      <c r="W43" s="2141"/>
      <c r="X43" s="2141"/>
      <c r="Y43" s="2141"/>
      <c r="Z43" s="2141"/>
      <c r="AA43" s="2141"/>
      <c r="AB43" s="2142"/>
      <c r="AC43" s="2140" t="str">
        <f>INDEX(PT_DIFFERENTIATION_CS,MATCH(C43,PT_DIFFERENTIATION_CS_ID,0))</f>
        <v/>
      </c>
      <c r="AD43" s="2141"/>
      <c r="AE43" s="2141"/>
      <c r="AF43" s="2141"/>
      <c r="AG43" s="2141"/>
      <c r="AH43" s="2141"/>
      <c r="AI43" s="2141"/>
      <c r="AJ43" s="2142"/>
      <c r="AK43" s="1179" t="s">
        <v>485</v>
      </c>
      <c r="AM43" s="425"/>
      <c r="AN43" s="425" t="str">
        <f t="shared" si="1"/>
        <v>Наименование централизованной системы водоотведения</v>
      </c>
      <c r="AO43" s="425"/>
      <c r="AP43" s="425"/>
    </row>
    <row r="44" spans="1:42" ht="23.25" customHeight="1">
      <c r="A44" s="1281" t="s">
        <v>239</v>
      </c>
      <c r="B44" s="1281" t="s">
        <v>240</v>
      </c>
      <c r="C44" s="1281" t="s">
        <v>241</v>
      </c>
      <c r="D44" s="1281" t="s">
        <v>489</v>
      </c>
      <c r="E44" s="2147"/>
      <c r="F44" s="2147"/>
      <c r="G44" s="2147"/>
      <c r="H44" s="2147"/>
      <c r="I44" s="2148" t="str">
        <f>S43&amp;".1"</f>
        <v>...1</v>
      </c>
      <c r="J44" s="1281"/>
      <c r="K44" s="1281"/>
      <c r="L44" s="1282"/>
      <c r="P44" s="2150">
        <v>1</v>
      </c>
      <c r="Q44" s="1393"/>
      <c r="R44" s="280"/>
      <c r="S44" s="1405"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239</v>
      </c>
      <c r="B45" s="1281" t="s">
        <v>240</v>
      </c>
      <c r="C45" s="1281" t="s">
        <v>241</v>
      </c>
      <c r="D45" s="1281" t="s">
        <v>489</v>
      </c>
      <c r="E45" s="2147"/>
      <c r="F45" s="2147"/>
      <c r="G45" s="2147"/>
      <c r="H45" s="2147"/>
      <c r="I45" s="2149"/>
      <c r="J45" s="2148" t="str">
        <f>I44&amp;".1"</f>
        <v>...1.1</v>
      </c>
      <c r="K45" s="1281"/>
      <c r="L45" s="1282" t="s">
        <v>376</v>
      </c>
      <c r="P45" s="2150"/>
      <c r="Q45" s="2150">
        <v>1</v>
      </c>
      <c r="R45" s="281"/>
      <c r="S45" s="1405" t="str">
        <f>$J45</f>
        <v>...1.1</v>
      </c>
      <c r="T45" s="203" t="s">
        <v>377</v>
      </c>
      <c r="U45" s="217"/>
      <c r="V45" s="2134"/>
      <c r="W45" s="2135"/>
      <c r="X45" s="2135"/>
      <c r="Y45" s="2135"/>
      <c r="Z45" s="2135"/>
      <c r="AA45" s="2135"/>
      <c r="AB45" s="2136"/>
      <c r="AC45" s="2134"/>
      <c r="AD45" s="2135"/>
      <c r="AE45" s="2135"/>
      <c r="AF45" s="2135"/>
      <c r="AG45" s="2135"/>
      <c r="AH45" s="2135"/>
      <c r="AI45" s="2135"/>
      <c r="AJ45" s="2136"/>
      <c r="AK45" s="1228" t="s">
        <v>455</v>
      </c>
      <c r="AM45" s="425"/>
      <c r="AN45" s="425" t="str">
        <f t="shared" si="1"/>
        <v>Группа потребителей</v>
      </c>
      <c r="AO45" s="425"/>
      <c r="AP45" s="425"/>
    </row>
    <row r="46" spans="1:42" ht="23.25" customHeight="1">
      <c r="A46" s="1281" t="s">
        <v>239</v>
      </c>
      <c r="B46" s="1281" t="s">
        <v>240</v>
      </c>
      <c r="C46" s="1281" t="s">
        <v>241</v>
      </c>
      <c r="D46" s="1281" t="s">
        <v>489</v>
      </c>
      <c r="E46" s="2147"/>
      <c r="F46" s="2147"/>
      <c r="G46" s="2147"/>
      <c r="H46" s="2147"/>
      <c r="I46" s="2149"/>
      <c r="J46" s="2149"/>
      <c r="K46" s="2148" t="str">
        <f>J45&amp;".1"</f>
        <v>...1.1.1</v>
      </c>
      <c r="L46" s="1282"/>
      <c r="P46" s="2150"/>
      <c r="Q46" s="2150"/>
      <c r="R46" s="281">
        <v>1</v>
      </c>
      <c r="S46" s="1405" t="str">
        <f>$K46</f>
        <v>...1.1.1</v>
      </c>
      <c r="T46" s="1354"/>
      <c r="U46" s="217"/>
      <c r="V46" s="1278"/>
      <c r="W46" s="1278"/>
      <c r="X46" s="1279"/>
      <c r="Y46" s="2144"/>
      <c r="Z46" s="2143" t="s">
        <v>50</v>
      </c>
      <c r="AA46" s="2144"/>
      <c r="AB46" s="2143" t="s">
        <v>50</v>
      </c>
      <c r="AC46" s="668"/>
      <c r="AD46" s="668"/>
      <c r="AE46" s="1178"/>
      <c r="AF46" s="2151"/>
      <c r="AG46" s="2029" t="s">
        <v>50</v>
      </c>
      <c r="AH46" s="2153"/>
      <c r="AI46" s="2029" t="s">
        <v>48</v>
      </c>
      <c r="AJ46" s="1355"/>
      <c r="AK46"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239</v>
      </c>
      <c r="B47" s="1281" t="s">
        <v>240</v>
      </c>
      <c r="C47" s="1281" t="s">
        <v>241</v>
      </c>
      <c r="D47" s="1281" t="s">
        <v>489</v>
      </c>
      <c r="E47" s="2147"/>
      <c r="F47" s="2147"/>
      <c r="G47" s="2147"/>
      <c r="H47" s="2147"/>
      <c r="I47" s="2149"/>
      <c r="J47" s="2149"/>
      <c r="K47" s="2148"/>
      <c r="L47" s="1282"/>
      <c r="P47" s="2150"/>
      <c r="Q47" s="2150"/>
      <c r="R47" s="281"/>
      <c r="S47" s="1402"/>
      <c r="T47" s="217"/>
      <c r="U47" s="217"/>
      <c r="V47" s="1278"/>
      <c r="W47" s="1278"/>
      <c r="X47" s="253" t="str">
        <f>Y46&amp;"-"&amp;AA46</f>
        <v>-</v>
      </c>
      <c r="Y47" s="2143"/>
      <c r="Z47" s="2143"/>
      <c r="AA47" s="2143"/>
      <c r="AB47" s="2143"/>
      <c r="AC47" s="249"/>
      <c r="AD47" s="249"/>
      <c r="AE47" s="253" t="str">
        <f>AF46&amp;"-"&amp;AH46</f>
        <v>-</v>
      </c>
      <c r="AF47" s="2152"/>
      <c r="AG47" s="2029"/>
      <c r="AH47" s="2154"/>
      <c r="AI47" s="2029"/>
      <c r="AJ47" s="1356"/>
      <c r="AK47" s="2212"/>
      <c r="AM47" s="425"/>
      <c r="AN47" s="425" t="str">
        <f t="shared" si="1"/>
        <v/>
      </c>
      <c r="AO47" s="425"/>
      <c r="AP47" s="425"/>
    </row>
    <row r="48" spans="1:42" ht="21" customHeight="1">
      <c r="A48" s="1281" t="s">
        <v>239</v>
      </c>
      <c r="B48" s="1281" t="s">
        <v>240</v>
      </c>
      <c r="C48" s="1281" t="s">
        <v>241</v>
      </c>
      <c r="D48" s="1281" t="s">
        <v>489</v>
      </c>
      <c r="E48" s="2147"/>
      <c r="F48" s="2147"/>
      <c r="G48" s="2147"/>
      <c r="H48" s="2147"/>
      <c r="I48" s="2149"/>
      <c r="J48" s="2148"/>
      <c r="K48" s="1281"/>
      <c r="L48" s="1282"/>
      <c r="P48" s="2150"/>
      <c r="Q48" s="2150"/>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239</v>
      </c>
      <c r="B49" s="1281" t="s">
        <v>240</v>
      </c>
      <c r="C49" s="1281" t="s">
        <v>241</v>
      </c>
      <c r="D49" s="1281" t="s">
        <v>489</v>
      </c>
      <c r="E49" s="2147"/>
      <c r="F49" s="2147"/>
      <c r="G49" s="2147"/>
      <c r="H49" s="2147"/>
      <c r="I49" s="2148"/>
      <c r="J49" s="1281"/>
      <c r="K49" s="1281"/>
      <c r="L49" s="1282"/>
      <c r="P49" s="2150"/>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239</v>
      </c>
      <c r="B50" s="1281" t="s">
        <v>240</v>
      </c>
      <c r="C50" s="1281" t="s">
        <v>241</v>
      </c>
      <c r="D50" s="1281" t="s">
        <v>489</v>
      </c>
      <c r="E50" s="2147"/>
      <c r="F50" s="2147"/>
      <c r="G50" s="2147"/>
      <c r="H50" s="2146"/>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239</v>
      </c>
      <c r="B51" s="1262" t="s">
        <v>240</v>
      </c>
      <c r="C51" s="1234"/>
      <c r="D51" s="1234"/>
      <c r="E51" s="2147"/>
      <c r="F51" s="2146"/>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239</v>
      </c>
      <c r="B52" s="1262"/>
      <c r="C52" s="1262"/>
      <c r="D52" s="1262"/>
      <c r="E52" s="2146"/>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5"/>
      <c r="U55" s="2145"/>
      <c r="V55" s="2145"/>
      <c r="W55" s="2145"/>
      <c r="X55" s="2145"/>
      <c r="Y55" s="2145"/>
      <c r="Z55" s="2145"/>
      <c r="AA55" s="2145"/>
      <c r="AB55" s="2145"/>
      <c r="AC55" s="2145"/>
      <c r="AD55" s="2145"/>
      <c r="AE55" s="2145"/>
      <c r="AF55" s="2145"/>
      <c r="AG55" s="2145"/>
      <c r="AH55" s="2145"/>
      <c r="AI55" s="2145"/>
      <c r="AJ55" s="2145"/>
      <c r="AK55" s="2145"/>
    </row>
    <row r="56" spans="1:42" ht="14.25" customHeight="1">
      <c r="O56" s="461"/>
    </row>
    <row r="57" spans="1:42" ht="14.25" customHeight="1">
      <c r="O57" s="461"/>
      <c r="S57" s="1166"/>
      <c r="T57" s="2145"/>
      <c r="U57" s="2145"/>
      <c r="V57" s="2145"/>
      <c r="W57" s="2145"/>
      <c r="X57" s="2145"/>
      <c r="Y57" s="2145"/>
      <c r="Z57" s="2145"/>
      <c r="AA57" s="2145"/>
      <c r="AB57" s="2145"/>
      <c r="AC57" s="2145"/>
      <c r="AD57" s="2145"/>
      <c r="AE57" s="2145"/>
      <c r="AF57" s="2145"/>
      <c r="AG57" s="2145"/>
      <c r="AH57" s="2145"/>
      <c r="AI57" s="2145"/>
      <c r="AJ57" s="2145"/>
      <c r="AK57" s="2145"/>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2" hidden="1" customWidth="1"/>
    <col min="2" max="2" width="11" style="1882" hidden="1" customWidth="1"/>
    <col min="3" max="3" width="10.5703125" style="1882" hidden="1"/>
    <col min="4" max="4" width="12.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901"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5" width="21.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2" width="3.7109375" style="1856" customWidth="1"/>
    <col min="33" max="33" width="24.7109375" style="1856" customWidth="1"/>
    <col min="34" max="36" width="3.7109375" style="1856" customWidth="1"/>
    <col min="37" max="37" width="24.7109375" style="1856" customWidth="1"/>
    <col min="38" max="40" width="3.7109375" style="1856" customWidth="1"/>
    <col min="41" max="41" width="18.85546875" style="1856" customWidth="1"/>
    <col min="42" max="44" width="3.7109375" style="1856" customWidth="1"/>
    <col min="45" max="45" width="18.85546875" style="1856" customWidth="1"/>
    <col min="46" max="49" width="21.7109375" style="1856" customWidth="1"/>
    <col min="50" max="50" width="11.7109375" style="1856" customWidth="1"/>
    <col min="51" max="51" width="3.7109375" style="1856" customWidth="1"/>
    <col min="52" max="52" width="11.7109375" style="1856" customWidth="1"/>
    <col min="53" max="53" width="8.5703125" style="1856" hidden="1" customWidth="1"/>
    <col min="54" max="54" width="4.7109375" style="1856" customWidth="1"/>
    <col min="55" max="55" width="115.7109375" style="1856" customWidth="1"/>
    <col min="56" max="57" width="10.5703125" style="1811"/>
    <col min="58" max="58" width="11.140625" style="1811" customWidth="1"/>
    <col min="59" max="60" width="10.5703125" style="1811"/>
  </cols>
  <sheetData>
    <row r="1" spans="1:60" ht="14.25" hidden="1" customHeight="1">
      <c r="W1" s="252"/>
      <c r="Y1" s="252"/>
      <c r="Z1" s="252"/>
      <c r="AW1" s="252"/>
      <c r="AX1" s="252"/>
    </row>
    <row r="2" spans="1:60" ht="21" hidden="1" customHeight="1">
      <c r="A2" s="1281"/>
      <c r="B2" s="1281"/>
      <c r="C2" s="1281"/>
      <c r="D2" s="1281"/>
      <c r="E2" s="2146">
        <v>1</v>
      </c>
      <c r="F2" s="1281"/>
      <c r="G2" s="1281"/>
      <c r="H2" s="1281"/>
      <c r="I2" s="1281"/>
      <c r="J2" s="1281"/>
      <c r="K2" s="1281"/>
      <c r="L2" s="1282"/>
      <c r="M2" s="1283"/>
      <c r="N2" s="1283"/>
      <c r="O2" s="1283"/>
      <c r="P2" s="1327"/>
      <c r="Q2" s="787"/>
      <c r="R2" s="279"/>
      <c r="S2" s="1405" t="e">
        <f>INDEX(PT_DIFFERENTIATION_NUM_NTAR,MATCH(A2,PT_DIFFERENTIATION_NTAR_ID,0))</f>
        <v>#N/A</v>
      </c>
      <c r="T2" s="215" t="s">
        <v>105</v>
      </c>
      <c r="U2" s="217"/>
      <c r="V2" s="2141"/>
      <c r="W2" s="2141"/>
      <c r="X2" s="2141"/>
      <c r="Y2" s="2141"/>
      <c r="Z2" s="2141"/>
      <c r="AA2" s="2141"/>
      <c r="AB2" s="2141"/>
      <c r="AC2" s="2142"/>
      <c r="AD2" s="2140" t="e">
        <f>INDEX(PT_DIFFERENTIATION_NTAR,MATCH(A2,PT_DIFFERENTIATION_NTAR_ID,0))</f>
        <v>#N/A</v>
      </c>
      <c r="AE2" s="2141"/>
      <c r="AF2" s="2141"/>
      <c r="AG2" s="2141"/>
      <c r="AH2" s="2141"/>
      <c r="AI2" s="2141"/>
      <c r="AJ2" s="2141"/>
      <c r="AK2" s="2141"/>
      <c r="AL2" s="2141"/>
      <c r="AM2" s="2141"/>
      <c r="AN2" s="2141"/>
      <c r="AO2" s="2141"/>
      <c r="AP2" s="2141"/>
      <c r="AQ2" s="2141"/>
      <c r="AR2" s="2141"/>
      <c r="AS2" s="2141"/>
      <c r="AT2" s="2141"/>
      <c r="AU2" s="2141"/>
      <c r="AV2" s="2141"/>
      <c r="AW2" s="2141"/>
      <c r="AX2" s="2141"/>
      <c r="AY2" s="2141"/>
      <c r="AZ2" s="2141"/>
      <c r="BA2" s="2141"/>
      <c r="BB2" s="2142"/>
      <c r="BC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5"/>
      <c r="BF2" s="425" t="str">
        <f t="shared" ref="BF2:BF8" si="0">IF(T2="","",T2)</f>
        <v>Наименование тарифа</v>
      </c>
      <c r="BG2" s="425"/>
      <c r="BH2" s="425"/>
    </row>
    <row r="3" spans="1:60" ht="21" hidden="1" customHeight="1">
      <c r="A3" s="1281"/>
      <c r="B3" s="1281"/>
      <c r="C3" s="1281"/>
      <c r="D3" s="1281"/>
      <c r="E3" s="2147"/>
      <c r="F3" s="2146">
        <v>1</v>
      </c>
      <c r="G3" s="1281"/>
      <c r="H3" s="1281"/>
      <c r="I3" s="1281"/>
      <c r="J3" s="1281"/>
      <c r="K3" s="1281"/>
      <c r="L3" s="1282"/>
      <c r="M3" s="1283"/>
      <c r="N3" s="1283"/>
      <c r="O3" s="1283"/>
      <c r="P3" s="1328"/>
      <c r="Q3" s="1329"/>
      <c r="R3" s="277"/>
      <c r="S3" s="1405" t="e">
        <f>INDEX(PT_DIFFERENTIATION_NUM_TER,MATCH(B3,PT_DIFFERENTIATION_TER_ID,0))</f>
        <v>#N/A</v>
      </c>
      <c r="T3" s="227" t="s">
        <v>367</v>
      </c>
      <c r="U3" s="217"/>
      <c r="V3" s="2141"/>
      <c r="W3" s="2141"/>
      <c r="X3" s="2141"/>
      <c r="Y3" s="2141"/>
      <c r="Z3" s="2141"/>
      <c r="AA3" s="2141"/>
      <c r="AB3" s="2141"/>
      <c r="AC3" s="2142"/>
      <c r="AD3" s="2140" t="e">
        <f>INDEX(PT_DIFFERENTIATION_TER,MATCH(B3,PT_DIFFERENTIATION_TER_ID,0))</f>
        <v>#N/A</v>
      </c>
      <c r="AE3" s="2141"/>
      <c r="AF3" s="2141"/>
      <c r="AG3" s="2141"/>
      <c r="AH3" s="2141"/>
      <c r="AI3" s="2141"/>
      <c r="AJ3" s="2141"/>
      <c r="AK3" s="2141"/>
      <c r="AL3" s="2141"/>
      <c r="AM3" s="2141"/>
      <c r="AN3" s="2141"/>
      <c r="AO3" s="2141"/>
      <c r="AP3" s="2141"/>
      <c r="AQ3" s="2141"/>
      <c r="AR3" s="2141"/>
      <c r="AS3" s="2141"/>
      <c r="AT3" s="2141"/>
      <c r="AU3" s="2141"/>
      <c r="AV3" s="2141"/>
      <c r="AW3" s="2141"/>
      <c r="AX3" s="2141"/>
      <c r="AY3" s="2141"/>
      <c r="AZ3" s="2141"/>
      <c r="BA3" s="2141"/>
      <c r="BB3" s="2142"/>
      <c r="BC3" s="1179" t="s">
        <v>368</v>
      </c>
      <c r="BE3" s="425"/>
      <c r="BF3" s="425" t="str">
        <f t="shared" si="0"/>
        <v>Территория действия тарифа</v>
      </c>
      <c r="BG3" s="425"/>
      <c r="BH3" s="425"/>
    </row>
    <row r="4" spans="1:60" ht="33.75" hidden="1" customHeight="1">
      <c r="A4" s="1281"/>
      <c r="B4" s="1281"/>
      <c r="C4" s="1281"/>
      <c r="D4" s="1281"/>
      <c r="E4" s="2147"/>
      <c r="F4" s="2147"/>
      <c r="G4" s="2146">
        <v>1</v>
      </c>
      <c r="H4" s="1281"/>
      <c r="I4" s="1281"/>
      <c r="J4" s="1281"/>
      <c r="K4" s="1281"/>
      <c r="L4" s="1282"/>
      <c r="M4" s="1283"/>
      <c r="N4" s="1283"/>
      <c r="O4" s="1283"/>
      <c r="P4" s="1330"/>
      <c r="Q4" s="1329"/>
      <c r="R4" s="277"/>
      <c r="S4" s="1405" t="e">
        <f>INDEX(PT_DIFFERENTIATION_NUM_CS,MATCH(C4,PT_DIFFERENTIATION_CS_ID,0))</f>
        <v>#N/A</v>
      </c>
      <c r="T4" s="228" t="s">
        <v>484</v>
      </c>
      <c r="U4" s="217"/>
      <c r="V4" s="2141"/>
      <c r="W4" s="2141"/>
      <c r="X4" s="2141"/>
      <c r="Y4" s="2141"/>
      <c r="Z4" s="2141"/>
      <c r="AA4" s="2141"/>
      <c r="AB4" s="2141"/>
      <c r="AC4" s="2142"/>
      <c r="AD4" s="2140" t="e">
        <f>INDEX(PT_DIFFERENTIATION_CS,MATCH(C4,PT_DIFFERENTIATION_CS_ID,0))</f>
        <v>#N/A</v>
      </c>
      <c r="AE4" s="2141"/>
      <c r="AF4" s="2141"/>
      <c r="AG4" s="2141"/>
      <c r="AH4" s="2141"/>
      <c r="AI4" s="2141"/>
      <c r="AJ4" s="2141"/>
      <c r="AK4" s="2141"/>
      <c r="AL4" s="2141"/>
      <c r="AM4" s="2141"/>
      <c r="AN4" s="2141"/>
      <c r="AO4" s="2141"/>
      <c r="AP4" s="2141"/>
      <c r="AQ4" s="2141"/>
      <c r="AR4" s="2141"/>
      <c r="AS4" s="2141"/>
      <c r="AT4" s="2141"/>
      <c r="AU4" s="2141"/>
      <c r="AV4" s="2141"/>
      <c r="AW4" s="2141"/>
      <c r="AX4" s="2141"/>
      <c r="AY4" s="2141"/>
      <c r="AZ4" s="2141"/>
      <c r="BA4" s="2141"/>
      <c r="BB4" s="2142"/>
      <c r="BC4" s="1179" t="s">
        <v>485</v>
      </c>
      <c r="BE4" s="425"/>
      <c r="BF4" s="425" t="str">
        <f t="shared" si="0"/>
        <v>Наименование централизованной системы водоотведения</v>
      </c>
      <c r="BG4" s="425"/>
      <c r="BH4" s="425"/>
    </row>
    <row r="5" spans="1:60" s="1811" customFormat="1" ht="14.25" hidden="1" customHeight="1">
      <c r="A5" s="1262"/>
      <c r="B5" s="1262"/>
      <c r="C5" s="1262"/>
      <c r="D5" s="1262"/>
      <c r="E5" s="2147"/>
      <c r="F5" s="2147"/>
      <c r="G5" s="2147"/>
      <c r="H5" s="2146">
        <v>1</v>
      </c>
      <c r="I5" s="1262"/>
      <c r="J5" s="1262"/>
      <c r="K5" s="1262"/>
      <c r="L5" s="1265"/>
      <c r="M5" s="1235"/>
      <c r="N5" s="1235"/>
      <c r="O5" s="1235"/>
      <c r="P5" s="1409"/>
      <c r="Q5" s="1410"/>
      <c r="R5" s="281"/>
      <c r="S5" s="951"/>
      <c r="T5" s="1411"/>
      <c r="U5" s="1302"/>
      <c r="V5" s="2176"/>
      <c r="W5" s="2176"/>
      <c r="X5" s="2176"/>
      <c r="Y5" s="2176"/>
      <c r="Z5" s="2176"/>
      <c r="AA5" s="2176"/>
      <c r="AB5" s="2176"/>
      <c r="AC5" s="2177"/>
      <c r="AD5" s="2175"/>
      <c r="AE5" s="2176"/>
      <c r="AF5" s="2176"/>
      <c r="AG5" s="2176"/>
      <c r="AH5" s="2176"/>
      <c r="AI5" s="2176"/>
      <c r="AJ5" s="2176"/>
      <c r="AK5" s="2176"/>
      <c r="AL5" s="2176"/>
      <c r="AM5" s="2176"/>
      <c r="AN5" s="2176"/>
      <c r="AO5" s="2176"/>
      <c r="AP5" s="2176"/>
      <c r="AQ5" s="2176"/>
      <c r="AR5" s="2176"/>
      <c r="AS5" s="2176"/>
      <c r="AT5" s="2176"/>
      <c r="AU5" s="2176"/>
      <c r="AV5" s="2176"/>
      <c r="AW5" s="2176"/>
      <c r="AX5" s="2176"/>
      <c r="AY5" s="2176"/>
      <c r="AZ5" s="2176"/>
      <c r="BA5" s="2176"/>
      <c r="BB5" s="2177"/>
      <c r="BC5" s="1303" t="s">
        <v>372</v>
      </c>
      <c r="BE5" s="425"/>
      <c r="BF5" s="425" t="str">
        <f t="shared" si="0"/>
        <v/>
      </c>
      <c r="BG5" s="425"/>
      <c r="BH5" s="425"/>
    </row>
    <row r="6" spans="1:60" s="1811" customFormat="1" ht="14.25" hidden="1" customHeight="1">
      <c r="A6" s="1262"/>
      <c r="B6" s="1262"/>
      <c r="C6" s="1262"/>
      <c r="D6" s="1262"/>
      <c r="E6" s="2147"/>
      <c r="F6" s="2147"/>
      <c r="G6" s="2147"/>
      <c r="H6" s="2147"/>
      <c r="I6" s="2148" t="str">
        <f>S5&amp;".1"</f>
        <v>.1</v>
      </c>
      <c r="J6" s="1262"/>
      <c r="K6" s="1262"/>
      <c r="L6" s="1265" t="s">
        <v>373</v>
      </c>
      <c r="M6" s="435"/>
      <c r="N6" s="435"/>
      <c r="O6" s="435"/>
      <c r="P6" s="2150">
        <v>1</v>
      </c>
      <c r="Q6" s="1393"/>
      <c r="R6" s="280"/>
      <c r="S6" s="951"/>
      <c r="T6" s="1301"/>
      <c r="U6" s="1302"/>
      <c r="V6" s="2176"/>
      <c r="W6" s="2176"/>
      <c r="X6" s="2176"/>
      <c r="Y6" s="2176"/>
      <c r="Z6" s="2176"/>
      <c r="AA6" s="2176"/>
      <c r="AB6" s="2176"/>
      <c r="AC6" s="2177"/>
      <c r="AD6" s="2175"/>
      <c r="AE6" s="2176"/>
      <c r="AF6" s="2176"/>
      <c r="AG6" s="2176"/>
      <c r="AH6" s="2176"/>
      <c r="AI6" s="2176"/>
      <c r="AJ6" s="2176"/>
      <c r="AK6" s="2176"/>
      <c r="AL6" s="2176"/>
      <c r="AM6" s="2176"/>
      <c r="AN6" s="2176"/>
      <c r="AO6" s="2176"/>
      <c r="AP6" s="2176"/>
      <c r="AQ6" s="2176"/>
      <c r="AR6" s="2176"/>
      <c r="AS6" s="2176"/>
      <c r="AT6" s="2176"/>
      <c r="AU6" s="2176"/>
      <c r="AV6" s="2176"/>
      <c r="AW6" s="2176"/>
      <c r="AX6" s="2176"/>
      <c r="AY6" s="2176"/>
      <c r="AZ6" s="2176"/>
      <c r="BA6" s="2176"/>
      <c r="BB6" s="2177"/>
      <c r="BC6" s="1303"/>
      <c r="BE6" s="425"/>
      <c r="BF6" s="425" t="str">
        <f t="shared" si="0"/>
        <v/>
      </c>
      <c r="BG6" s="425"/>
      <c r="BH6" s="425"/>
    </row>
    <row r="7" spans="1:60" s="1811" customFormat="1" ht="14.25" hidden="1" customHeight="1">
      <c r="A7" s="1262"/>
      <c r="B7" s="1262"/>
      <c r="C7" s="1262"/>
      <c r="D7" s="1262"/>
      <c r="E7" s="2147"/>
      <c r="F7" s="2147"/>
      <c r="G7" s="2147"/>
      <c r="H7" s="2147"/>
      <c r="I7" s="2149"/>
      <c r="J7" s="2148" t="str">
        <f>S5&amp;".1"</f>
        <v>.1</v>
      </c>
      <c r="K7" s="1262"/>
      <c r="L7" s="1265"/>
      <c r="M7" s="435"/>
      <c r="N7" s="435"/>
      <c r="O7" s="435"/>
      <c r="P7" s="2150"/>
      <c r="Q7" s="2150">
        <v>1</v>
      </c>
      <c r="R7" s="281"/>
      <c r="S7" s="951"/>
      <c r="T7" s="1317"/>
      <c r="U7" s="1302"/>
      <c r="V7" s="2176"/>
      <c r="W7" s="2176"/>
      <c r="X7" s="2176"/>
      <c r="Y7" s="2176"/>
      <c r="Z7" s="2176"/>
      <c r="AA7" s="2176"/>
      <c r="AB7" s="2176"/>
      <c r="AC7" s="2177"/>
      <c r="AD7" s="2175"/>
      <c r="AE7" s="2176"/>
      <c r="AF7" s="2176"/>
      <c r="AG7" s="2176"/>
      <c r="AH7" s="2176"/>
      <c r="AI7" s="2176"/>
      <c r="AJ7" s="2176"/>
      <c r="AK7" s="2176"/>
      <c r="AL7" s="2176"/>
      <c r="AM7" s="2176"/>
      <c r="AN7" s="2176"/>
      <c r="AO7" s="2176"/>
      <c r="AP7" s="2176"/>
      <c r="AQ7" s="2176"/>
      <c r="AR7" s="2176"/>
      <c r="AS7" s="2176"/>
      <c r="AT7" s="2176"/>
      <c r="AU7" s="2176"/>
      <c r="AV7" s="2176"/>
      <c r="AW7" s="2176"/>
      <c r="AX7" s="2176"/>
      <c r="AY7" s="2176"/>
      <c r="AZ7" s="2176"/>
      <c r="BA7" s="2176"/>
      <c r="BB7" s="2177"/>
      <c r="BC7" s="1303"/>
      <c r="BE7" s="425"/>
      <c r="BF7" s="425" t="str">
        <f t="shared" si="0"/>
        <v/>
      </c>
      <c r="BG7" s="425"/>
      <c r="BH7" s="425"/>
    </row>
    <row r="8" spans="1:60" ht="11.25" hidden="1" customHeight="1">
      <c r="A8" s="1281"/>
      <c r="B8" s="1281"/>
      <c r="C8" s="1281"/>
      <c r="D8" s="1281"/>
      <c r="E8" s="2147"/>
      <c r="F8" s="2147"/>
      <c r="G8" s="2147"/>
      <c r="H8" s="2147"/>
      <c r="I8" s="2149"/>
      <c r="J8" s="2149"/>
      <c r="K8" s="2148" t="e">
        <f>S4&amp;".1"</f>
        <v>#N/A</v>
      </c>
      <c r="L8" s="1282"/>
      <c r="P8" s="2150"/>
      <c r="Q8" s="2150"/>
      <c r="R8" s="2199">
        <v>1</v>
      </c>
      <c r="S8" s="2196" t="e">
        <f>$K8</f>
        <v>#N/A</v>
      </c>
      <c r="T8" s="2215"/>
      <c r="U8" s="217"/>
      <c r="V8" s="668"/>
      <c r="W8" s="1178"/>
      <c r="X8" s="668"/>
      <c r="Y8" s="1178"/>
      <c r="Z8" s="1646"/>
      <c r="AA8" s="1382" t="s">
        <v>50</v>
      </c>
      <c r="AB8" s="1646"/>
      <c r="AC8" s="1382" t="s">
        <v>50</v>
      </c>
      <c r="AD8" s="2089" t="s">
        <v>50</v>
      </c>
      <c r="AE8" s="2192"/>
      <c r="AF8" s="2102">
        <v>1</v>
      </c>
      <c r="AG8" s="2214"/>
      <c r="AH8" s="2029" t="s">
        <v>50</v>
      </c>
      <c r="AI8" s="2192"/>
      <c r="AJ8" s="2102">
        <v>1</v>
      </c>
      <c r="AK8" s="2213" t="s">
        <v>18</v>
      </c>
      <c r="AL8" s="2029" t="s">
        <v>50</v>
      </c>
      <c r="AM8" s="2077"/>
      <c r="AN8" s="2102">
        <v>1</v>
      </c>
      <c r="AO8" s="2218"/>
      <c r="AP8" s="2219" t="s">
        <v>50</v>
      </c>
      <c r="AQ8" s="230"/>
      <c r="AR8" s="1398">
        <v>1</v>
      </c>
      <c r="AS8" s="1404" t="s">
        <v>18</v>
      </c>
      <c r="AT8" s="668"/>
      <c r="AU8" s="1178"/>
      <c r="AV8" s="668"/>
      <c r="AW8" s="1178"/>
      <c r="AX8" s="1646"/>
      <c r="AY8" s="1382" t="s">
        <v>50</v>
      </c>
      <c r="AZ8" s="1646"/>
      <c r="BA8" s="1382" t="s">
        <v>50</v>
      </c>
      <c r="BB8" s="1267"/>
      <c r="BC8" s="2169" t="s">
        <v>469</v>
      </c>
      <c r="BE8" s="425"/>
      <c r="BF8" s="425" t="str">
        <f t="shared" si="0"/>
        <v/>
      </c>
      <c r="BG8" s="425"/>
      <c r="BH8" s="425"/>
    </row>
    <row r="9" spans="1:60" ht="11.25" hidden="1" customHeight="1">
      <c r="A9" s="1281"/>
      <c r="B9" s="1281"/>
      <c r="C9" s="1281"/>
      <c r="D9" s="1281"/>
      <c r="E9" s="2147"/>
      <c r="F9" s="2147"/>
      <c r="G9" s="2147"/>
      <c r="H9" s="2147"/>
      <c r="I9" s="2149"/>
      <c r="J9" s="2149"/>
      <c r="K9" s="2148"/>
      <c r="L9" s="1282"/>
      <c r="P9" s="2150"/>
      <c r="Q9" s="2150"/>
      <c r="R9" s="2199"/>
      <c r="S9" s="2197"/>
      <c r="T9" s="2216"/>
      <c r="U9" s="217"/>
      <c r="V9" s="1311"/>
      <c r="W9" s="1408"/>
      <c r="X9" s="1311"/>
      <c r="Y9" s="1408"/>
      <c r="Z9" s="1311"/>
      <c r="AA9" s="1311"/>
      <c r="AB9" s="1311"/>
      <c r="AC9" s="1311"/>
      <c r="AD9" s="2090"/>
      <c r="AE9" s="2192"/>
      <c r="AF9" s="2102"/>
      <c r="AG9" s="2214"/>
      <c r="AH9" s="2029"/>
      <c r="AI9" s="2192"/>
      <c r="AJ9" s="2102"/>
      <c r="AK9" s="2213"/>
      <c r="AL9" s="2029"/>
      <c r="AM9" s="2082"/>
      <c r="AN9" s="2102"/>
      <c r="AO9" s="2218"/>
      <c r="AP9" s="2220"/>
      <c r="AQ9" s="237"/>
      <c r="AR9" s="349"/>
      <c r="AS9" s="349" t="s">
        <v>470</v>
      </c>
      <c r="AT9" s="1311"/>
      <c r="AU9" s="1408"/>
      <c r="AV9" s="1311"/>
      <c r="AW9" s="1408"/>
      <c r="AX9" s="1311"/>
      <c r="AY9" s="1311"/>
      <c r="AZ9" s="1311"/>
      <c r="BA9" s="1311"/>
      <c r="BB9" s="1315"/>
      <c r="BC9" s="2170"/>
      <c r="BE9" s="425"/>
      <c r="BF9" s="425"/>
      <c r="BG9" s="425"/>
      <c r="BH9" s="425"/>
    </row>
    <row r="10" spans="1:60" ht="11.25" hidden="1" customHeight="1">
      <c r="A10" s="1281"/>
      <c r="B10" s="1281"/>
      <c r="C10" s="1281"/>
      <c r="D10" s="1281"/>
      <c r="E10" s="2147"/>
      <c r="F10" s="2147"/>
      <c r="G10" s="2147"/>
      <c r="H10" s="2147"/>
      <c r="I10" s="2149"/>
      <c r="J10" s="2149"/>
      <c r="K10" s="2148"/>
      <c r="L10" s="1282"/>
      <c r="P10" s="2150"/>
      <c r="Q10" s="2150"/>
      <c r="R10" s="2199"/>
      <c r="S10" s="2197"/>
      <c r="T10" s="2216"/>
      <c r="U10" s="217"/>
      <c r="V10" s="1311"/>
      <c r="W10" s="1408"/>
      <c r="X10" s="1311"/>
      <c r="Y10" s="1408"/>
      <c r="Z10" s="1311"/>
      <c r="AA10" s="1311"/>
      <c r="AB10" s="1311"/>
      <c r="AC10" s="1311"/>
      <c r="AD10" s="2090"/>
      <c r="AE10" s="2192"/>
      <c r="AF10" s="2102"/>
      <c r="AG10" s="2214"/>
      <c r="AH10" s="2029"/>
      <c r="AI10" s="2192"/>
      <c r="AJ10" s="2102"/>
      <c r="AK10" s="2213"/>
      <c r="AL10" s="2029"/>
      <c r="AM10" s="237"/>
      <c r="AN10" s="1412"/>
      <c r="AO10" s="1412" t="s">
        <v>490</v>
      </c>
      <c r="AP10" s="349"/>
      <c r="AQ10" s="349"/>
      <c r="AR10" s="349"/>
      <c r="AS10" s="1311"/>
      <c r="AT10" s="1311"/>
      <c r="AU10" s="1408"/>
      <c r="AV10" s="1311"/>
      <c r="AW10" s="1408"/>
      <c r="AX10" s="1311"/>
      <c r="AY10" s="1311"/>
      <c r="AZ10" s="1311"/>
      <c r="BA10" s="1311"/>
      <c r="BB10" s="1315"/>
      <c r="BC10" s="2170"/>
      <c r="BE10" s="425"/>
      <c r="BF10" s="425"/>
      <c r="BG10" s="425"/>
      <c r="BH10" s="425"/>
    </row>
    <row r="11" spans="1:60" ht="11.25" hidden="1" customHeight="1">
      <c r="A11" s="1281"/>
      <c r="B11" s="1281"/>
      <c r="C11" s="1281"/>
      <c r="D11" s="1281"/>
      <c r="E11" s="2147"/>
      <c r="F11" s="2147"/>
      <c r="G11" s="2147"/>
      <c r="H11" s="2147"/>
      <c r="I11" s="2149"/>
      <c r="J11" s="2149"/>
      <c r="K11" s="2148"/>
      <c r="L11" s="1282"/>
      <c r="P11" s="2150"/>
      <c r="Q11" s="2150"/>
      <c r="R11" s="2199"/>
      <c r="S11" s="2197"/>
      <c r="T11" s="2216"/>
      <c r="U11" s="217"/>
      <c r="V11" s="1311"/>
      <c r="W11" s="1408"/>
      <c r="X11" s="1311"/>
      <c r="Y11" s="1408"/>
      <c r="Z11" s="1311"/>
      <c r="AA11" s="1311"/>
      <c r="AB11" s="1311"/>
      <c r="AC11" s="1311"/>
      <c r="AD11" s="2090"/>
      <c r="AE11" s="2192"/>
      <c r="AF11" s="2102"/>
      <c r="AG11" s="2214"/>
      <c r="AH11" s="2029"/>
      <c r="AI11" s="211"/>
      <c r="AJ11" s="348"/>
      <c r="AK11" s="232" t="s">
        <v>491</v>
      </c>
      <c r="AL11" s="1311"/>
      <c r="AM11" s="1311"/>
      <c r="AN11" s="1311"/>
      <c r="AO11" s="1311"/>
      <c r="AP11" s="1311"/>
      <c r="AQ11" s="1311"/>
      <c r="AR11" s="1311"/>
      <c r="AS11" s="1311"/>
      <c r="AT11" s="1311"/>
      <c r="AU11" s="1408"/>
      <c r="AV11" s="1311"/>
      <c r="AW11" s="1408"/>
      <c r="AX11" s="1311"/>
      <c r="AY11" s="1311"/>
      <c r="AZ11" s="1311"/>
      <c r="BA11" s="1311"/>
      <c r="BB11" s="1315"/>
      <c r="BC11" s="2170"/>
      <c r="BE11" s="425"/>
      <c r="BF11" s="425"/>
      <c r="BG11" s="425"/>
      <c r="BH11" s="425"/>
    </row>
    <row r="12" spans="1:60" ht="11.25" hidden="1" customHeight="1">
      <c r="A12" s="1281"/>
      <c r="B12" s="1281"/>
      <c r="C12" s="1281"/>
      <c r="D12" s="1281"/>
      <c r="E12" s="2147"/>
      <c r="F12" s="2147"/>
      <c r="G12" s="2147"/>
      <c r="H12" s="2147"/>
      <c r="I12" s="2149"/>
      <c r="J12" s="2149"/>
      <c r="K12" s="2148"/>
      <c r="L12" s="1282"/>
      <c r="P12" s="2150"/>
      <c r="Q12" s="2150"/>
      <c r="R12" s="2199"/>
      <c r="S12" s="2198"/>
      <c r="T12" s="2217"/>
      <c r="U12" s="217"/>
      <c r="V12" s="1311"/>
      <c r="W12" s="1312" t="str">
        <f>Z8&amp;"-"&amp;AB8</f>
        <v>-</v>
      </c>
      <c r="X12" s="1311"/>
      <c r="Y12" s="1312" t="str">
        <f>AB8&amp;"-"&amp;AD8</f>
        <v>-да</v>
      </c>
      <c r="Z12" s="1311"/>
      <c r="AA12" s="1311"/>
      <c r="AB12" s="1311"/>
      <c r="AC12" s="1311"/>
      <c r="AD12" s="2034"/>
      <c r="AE12" s="231"/>
      <c r="AF12" s="233"/>
      <c r="AG12" s="349" t="s">
        <v>473</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170"/>
      <c r="BE12" s="425"/>
      <c r="BF12" s="425" t="str">
        <f t="shared" ref="BF12:BF18" si="1">IF(T12="","",T12)</f>
        <v/>
      </c>
      <c r="BG12" s="425"/>
      <c r="BH12" s="425"/>
    </row>
    <row r="13" spans="1:60" ht="11.25" hidden="1" customHeight="1">
      <c r="A13" s="1281"/>
      <c r="B13" s="1281"/>
      <c r="C13" s="1281"/>
      <c r="D13" s="1281"/>
      <c r="E13" s="2147"/>
      <c r="F13" s="2147"/>
      <c r="G13" s="2147"/>
      <c r="H13" s="2147"/>
      <c r="I13" s="2149"/>
      <c r="J13" s="2148"/>
      <c r="K13" s="1281"/>
      <c r="L13" s="1282"/>
      <c r="P13" s="2150"/>
      <c r="Q13" s="2150"/>
      <c r="R13" s="280"/>
      <c r="S13" s="1200"/>
      <c r="T13" s="204" t="s">
        <v>437</v>
      </c>
      <c r="U13" s="294"/>
      <c r="V13" s="294"/>
      <c r="W13" s="294"/>
      <c r="X13" s="294"/>
      <c r="Y13" s="294"/>
      <c r="Z13" s="294"/>
      <c r="AA13" s="294"/>
      <c r="AB13" s="294"/>
      <c r="AC13" s="294"/>
      <c r="AD13" s="1417"/>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48"/>
      <c r="BC13" s="2171"/>
      <c r="BE13" s="425"/>
      <c r="BF13" s="425" t="str">
        <f t="shared" si="1"/>
        <v>Добавить строку</v>
      </c>
      <c r="BG13" s="425"/>
      <c r="BH13" s="425"/>
    </row>
    <row r="14" spans="1:60" s="1811" customFormat="1" ht="14.25" hidden="1" customHeight="1">
      <c r="A14" s="1262"/>
      <c r="B14" s="1262"/>
      <c r="C14" s="1262"/>
      <c r="D14" s="1262"/>
      <c r="E14" s="2147"/>
      <c r="F14" s="2147"/>
      <c r="G14" s="2147"/>
      <c r="H14" s="2147"/>
      <c r="I14" s="2148"/>
      <c r="J14" s="1262"/>
      <c r="K14" s="1262"/>
      <c r="L14" s="1265"/>
      <c r="M14" s="435"/>
      <c r="N14" s="435"/>
      <c r="O14" s="435"/>
      <c r="P14" s="2150"/>
      <c r="Q14" s="1393"/>
      <c r="R14" s="280"/>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25"/>
      <c r="BF14" s="425" t="str">
        <f t="shared" si="1"/>
        <v/>
      </c>
      <c r="BG14" s="425"/>
      <c r="BH14" s="425"/>
    </row>
    <row r="15" spans="1:60" s="1811" customFormat="1" ht="14.25" hidden="1" customHeight="1">
      <c r="A15" s="1262"/>
      <c r="B15" s="1262"/>
      <c r="C15" s="1262"/>
      <c r="D15" s="1262"/>
      <c r="E15" s="2147"/>
      <c r="F15" s="2147"/>
      <c r="G15" s="2147"/>
      <c r="H15" s="2146"/>
      <c r="I15" s="1262"/>
      <c r="J15" s="1262"/>
      <c r="K15" s="1262"/>
      <c r="L15" s="1265"/>
      <c r="M15" s="1235"/>
      <c r="N15" s="1235"/>
      <c r="O15" s="443"/>
      <c r="P15" s="312"/>
      <c r="Q15" s="1263"/>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25"/>
      <c r="BF15" s="425" t="str">
        <f t="shared" si="1"/>
        <v/>
      </c>
      <c r="BG15" s="425"/>
      <c r="BH15" s="425"/>
    </row>
    <row r="16" spans="1:60" s="1881" customFormat="1" ht="14.25" hidden="1" customHeight="1">
      <c r="A16" s="1262"/>
      <c r="B16" s="1262"/>
      <c r="C16" s="1262"/>
      <c r="D16" s="1234"/>
      <c r="E16" s="2147"/>
      <c r="F16" s="2147"/>
      <c r="G16" s="2146"/>
      <c r="H16" s="1234"/>
      <c r="I16" s="1234"/>
      <c r="J16" s="1234"/>
      <c r="K16" s="1234"/>
      <c r="L16" s="1406"/>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07"/>
      <c r="BF16" s="707" t="str">
        <f t="shared" si="1"/>
        <v/>
      </c>
      <c r="BG16" s="707"/>
      <c r="BH16" s="707"/>
    </row>
    <row r="17" spans="1:60" s="1881" customFormat="1" ht="14.25" hidden="1" customHeight="1">
      <c r="A17" s="1262"/>
      <c r="B17" s="1262"/>
      <c r="C17" s="1234"/>
      <c r="D17" s="1234"/>
      <c r="E17" s="2147"/>
      <c r="F17" s="2146"/>
      <c r="G17" s="1234"/>
      <c r="H17" s="1234"/>
      <c r="I17" s="1234"/>
      <c r="J17" s="1234"/>
      <c r="K17" s="1234"/>
      <c r="L17" s="1406"/>
      <c r="M17" s="1241"/>
      <c r="N17" s="1241"/>
      <c r="P17" s="1236"/>
      <c r="Q17" s="1237"/>
      <c r="R17" s="1236"/>
      <c r="S17" s="1242"/>
      <c r="T17" s="1245" t="s">
        <v>385</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07"/>
      <c r="BF17" s="707" t="str">
        <f t="shared" si="1"/>
        <v>Добавить централизованную систему для дифференциации</v>
      </c>
      <c r="BG17" s="707"/>
      <c r="BH17" s="707"/>
    </row>
    <row r="18" spans="1:60" s="1811" customFormat="1" ht="14.25" hidden="1" customHeight="1">
      <c r="A18" s="1262"/>
      <c r="B18" s="1262"/>
      <c r="C18" s="1262"/>
      <c r="D18" s="1262"/>
      <c r="E18" s="2146"/>
      <c r="F18" s="1262"/>
      <c r="G18" s="1262"/>
      <c r="H18" s="1262"/>
      <c r="I18" s="1262"/>
      <c r="J18" s="1262"/>
      <c r="K18" s="1262"/>
      <c r="L18" s="1265"/>
      <c r="M18" s="1241"/>
      <c r="N18" s="1241"/>
      <c r="O18" s="443"/>
      <c r="P18" s="312"/>
      <c r="Q18" s="1263"/>
      <c r="R18" s="312"/>
      <c r="S18" s="1242"/>
      <c r="T18" s="1245" t="s">
        <v>386</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25"/>
      <c r="BF18" s="425" t="str">
        <f t="shared" si="1"/>
        <v>Добавить территорию для дифференциации</v>
      </c>
      <c r="BG18" s="425"/>
      <c r="BH18" s="425"/>
    </row>
    <row r="19" spans="1:60" ht="14.25" hidden="1" customHeight="1">
      <c r="AC19" s="252"/>
      <c r="BA19" s="252"/>
    </row>
    <row r="20" spans="1:60" ht="14.25" hidden="1" customHeight="1">
      <c r="AD20" s="1244" t="s">
        <v>48</v>
      </c>
      <c r="AE20" s="1413"/>
      <c r="AF20" s="472">
        <v>1</v>
      </c>
      <c r="AG20" s="1414"/>
      <c r="AH20" s="1244" t="s">
        <v>48</v>
      </c>
      <c r="AI20" s="1413"/>
      <c r="AJ20" s="472">
        <v>1</v>
      </c>
      <c r="AK20" s="1414"/>
      <c r="AL20" s="1244" t="s">
        <v>48</v>
      </c>
      <c r="AM20" s="1415"/>
      <c r="AN20" s="472">
        <v>1</v>
      </c>
      <c r="AO20" s="1416"/>
      <c r="AP20" s="1244" t="s">
        <v>48</v>
      </c>
      <c r="AQ20" s="1415"/>
      <c r="AR20" s="472">
        <v>1</v>
      </c>
      <c r="AS20" s="1416"/>
      <c r="AT20" s="249"/>
      <c r="AU20" s="317"/>
      <c r="AV20" s="249"/>
      <c r="AW20" s="317"/>
      <c r="AX20" s="1648"/>
      <c r="AY20" s="1397" t="s">
        <v>50</v>
      </c>
      <c r="AZ20" s="1648"/>
      <c r="BA20" s="1397" t="s">
        <v>50</v>
      </c>
    </row>
    <row r="21" spans="1:60" ht="14.25" hidden="1" customHeight="1">
      <c r="BD21" s="421"/>
      <c r="BE21" s="421"/>
      <c r="BF21" s="421"/>
      <c r="BG21" s="421"/>
      <c r="BH21" s="421"/>
    </row>
    <row r="22" spans="1:60" ht="14.25" hidden="1" customHeight="1">
      <c r="O22" s="1285" t="s">
        <v>387</v>
      </c>
      <c r="Z22" s="1264"/>
      <c r="AB22" s="1264"/>
      <c r="AC22" s="252"/>
      <c r="AX22" s="1264"/>
      <c r="AZ22" s="1264"/>
      <c r="BA22" s="252"/>
      <c r="BD22" s="421"/>
      <c r="BE22" s="421"/>
      <c r="BF22" s="421"/>
      <c r="BG22" s="421"/>
      <c r="BH22" s="421"/>
    </row>
    <row r="23" spans="1:60" ht="14.25" hidden="1" customHeight="1">
      <c r="AC23" s="252"/>
      <c r="BA23" s="252"/>
      <c r="BD23" s="421"/>
      <c r="BE23" s="421"/>
      <c r="BF23" s="421"/>
      <c r="BG23" s="421"/>
      <c r="BH23" s="421"/>
    </row>
    <row r="24" spans="1:60" s="1895" customFormat="1" ht="14.25" hidden="1" customHeight="1">
      <c r="M24" s="1420"/>
      <c r="N24" s="1420"/>
      <c r="O24" s="1421" t="s">
        <v>388</v>
      </c>
      <c r="P24" s="1420"/>
      <c r="Q24" s="1422"/>
      <c r="R24" s="1422"/>
      <c r="AA24" s="1419" t="s">
        <v>390</v>
      </c>
      <c r="AC24" s="1419" t="s">
        <v>391</v>
      </c>
      <c r="AD24" s="1419" t="s">
        <v>438</v>
      </c>
      <c r="AH24" s="1419" t="s">
        <v>438</v>
      </c>
      <c r="AK24" s="1419" t="s">
        <v>474</v>
      </c>
      <c r="AL24" s="1419" t="s">
        <v>438</v>
      </c>
      <c r="AP24" s="1419" t="s">
        <v>438</v>
      </c>
      <c r="AY24" s="1419" t="s">
        <v>390</v>
      </c>
      <c r="BA24" s="1419" t="s">
        <v>391</v>
      </c>
      <c r="BD24" s="1423"/>
      <c r="BE24" s="1423"/>
      <c r="BF24" s="1423"/>
      <c r="BG24" s="1423"/>
      <c r="BH24" s="1423"/>
    </row>
    <row r="25" spans="1:60" ht="14.25" hidden="1" customHeight="1">
      <c r="O25" s="1282"/>
      <c r="BD25" s="421"/>
      <c r="BE25" s="421"/>
      <c r="BF25" s="421"/>
      <c r="BG25" s="421"/>
      <c r="BH25" s="421"/>
    </row>
    <row r="26" spans="1:60" ht="14.25" hidden="1" customHeight="1">
      <c r="O26" s="1282"/>
      <c r="BD26" s="421"/>
      <c r="BE26" s="421"/>
      <c r="BF26" s="421"/>
      <c r="BG26" s="421"/>
      <c r="BH26" s="421"/>
    </row>
    <row r="27" spans="1:60" ht="14.25" customHeight="1">
      <c r="Q27" s="208"/>
      <c r="R27" s="304"/>
      <c r="S27" s="1197"/>
      <c r="T27" s="289"/>
      <c r="U27" s="289"/>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row>
    <row r="28" spans="1:60" ht="14.25" customHeight="1">
      <c r="Q28" s="208"/>
      <c r="R28" s="304"/>
      <c r="S28" s="2127"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27"/>
      <c r="U28" s="2127"/>
      <c r="V28" s="2127"/>
      <c r="W28" s="2127"/>
      <c r="X28" s="2127"/>
      <c r="Y28" s="2127"/>
      <c r="Z28" s="2127"/>
      <c r="AA28" s="2127"/>
      <c r="AB28" s="2127"/>
      <c r="AC28" s="2127"/>
      <c r="AD28" s="2127"/>
      <c r="AE28" s="2127"/>
      <c r="AF28" s="2127"/>
      <c r="AG28" s="2127"/>
      <c r="AH28" s="2127"/>
      <c r="AI28" s="2127"/>
      <c r="AJ28" s="2127"/>
      <c r="AK28" s="2127"/>
      <c r="AL28" s="2127"/>
      <c r="AM28" s="2127"/>
      <c r="AN28" s="2127"/>
      <c r="AO28" s="2127"/>
      <c r="AP28" s="2127"/>
      <c r="AQ28" s="2127"/>
      <c r="AR28" s="2127"/>
      <c r="AS28" s="2127"/>
      <c r="AT28" s="2127"/>
      <c r="AU28" s="2127"/>
      <c r="AV28" s="2127"/>
      <c r="AW28" s="2127"/>
      <c r="AX28" s="2127"/>
      <c r="AY28" s="2127"/>
      <c r="AZ28" s="2127"/>
      <c r="BA28" s="1154"/>
    </row>
    <row r="29" spans="1:60" ht="14.25" customHeight="1">
      <c r="Q29" s="208"/>
      <c r="R29" s="304"/>
      <c r="S29" s="2098" t="str">
        <f>IF(org=0,"Не определено",org)</f>
        <v>ООО "Горводоканал"</v>
      </c>
      <c r="T29" s="2098"/>
      <c r="U29" s="2098"/>
      <c r="V29" s="2098"/>
      <c r="W29" s="2098"/>
      <c r="X29" s="2098"/>
      <c r="Y29" s="2098"/>
      <c r="Z29" s="2098"/>
      <c r="AA29" s="2098"/>
      <c r="AB29" s="2098"/>
      <c r="AC29" s="2098"/>
      <c r="AD29" s="2098"/>
      <c r="AE29" s="2098"/>
      <c r="AF29" s="2098"/>
      <c r="AG29" s="2098"/>
      <c r="AH29" s="2098"/>
      <c r="AI29" s="2098"/>
      <c r="AJ29" s="2098"/>
      <c r="AK29" s="2098"/>
      <c r="AL29" s="2098"/>
      <c r="AM29" s="2098"/>
      <c r="AN29" s="2098"/>
      <c r="AO29" s="2098"/>
      <c r="AP29" s="2098"/>
      <c r="AQ29" s="2098"/>
      <c r="AR29" s="2098"/>
      <c r="AS29" s="2098"/>
      <c r="AT29" s="2098"/>
      <c r="AU29" s="2098"/>
      <c r="AV29" s="2098"/>
      <c r="AW29" s="2098"/>
      <c r="AX29" s="2098"/>
      <c r="AY29" s="2098"/>
      <c r="AZ29" s="2098"/>
      <c r="BA29" s="1154"/>
    </row>
    <row r="30" spans="1:60" ht="14.25" hidden="1" customHeight="1">
      <c r="Q30" s="208"/>
      <c r="R30" s="304"/>
      <c r="S30" s="1197"/>
      <c r="T30" s="289"/>
      <c r="U30" s="289"/>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434"/>
    </row>
    <row r="31" spans="1:60" s="1887" customFormat="1" ht="25.5" hidden="1" customHeight="1">
      <c r="A31" s="1286"/>
      <c r="B31" s="1286"/>
      <c r="C31" s="1286"/>
      <c r="D31" s="1286"/>
      <c r="E31" s="1286"/>
      <c r="F31" s="1286"/>
      <c r="G31" s="1286"/>
      <c r="H31" s="1286"/>
      <c r="I31" s="1286"/>
      <c r="J31" s="1286"/>
      <c r="K31" s="1286"/>
      <c r="L31" s="1287"/>
      <c r="M31" s="1286"/>
      <c r="N31" s="1286"/>
      <c r="O31" s="1286"/>
      <c r="P31" s="1286"/>
      <c r="Q31" s="1286"/>
      <c r="S31" s="2137" t="s">
        <v>37</v>
      </c>
      <c r="T31" s="2137"/>
      <c r="U31" s="1290"/>
      <c r="V31" s="2139" t="str">
        <f>IF(TITLE_NAME_OR_PR_CHANGE="",IF(TITLE_NAME_OR_PR="","",TITLE_NAME_OR_PR),TITLE_NAME_OR_PR_CHANGE)</f>
        <v/>
      </c>
      <c r="W31" s="2139"/>
      <c r="X31" s="2139"/>
      <c r="Y31" s="2139"/>
      <c r="Z31" s="2139"/>
      <c r="AA31" s="2139"/>
      <c r="AB31" s="2139"/>
      <c r="AC31" s="251"/>
      <c r="AD31" s="2139" t="str">
        <f>IF(TITLE_NAME_OR_PR_CHANGE="",IF(TITLE_NAME_OR_PR="","",TITLE_NAME_OR_PR),TITLE_NAME_OR_PR_CHANGE)</f>
        <v/>
      </c>
      <c r="AE31" s="2139"/>
      <c r="AF31" s="2139"/>
      <c r="AG31" s="2139"/>
      <c r="AH31" s="2139"/>
      <c r="AI31" s="2139"/>
      <c r="AJ31" s="2139"/>
      <c r="AK31" s="2139"/>
      <c r="AL31" s="2139"/>
      <c r="AM31" s="2139"/>
      <c r="AN31" s="2139"/>
      <c r="AO31" s="2139"/>
      <c r="AP31" s="2139"/>
      <c r="AQ31" s="2139"/>
      <c r="AR31" s="2139"/>
      <c r="AS31" s="2139"/>
      <c r="AT31" s="2139"/>
      <c r="AU31" s="2139"/>
      <c r="AV31" s="2139"/>
      <c r="AW31" s="2139"/>
      <c r="AX31" s="2139"/>
      <c r="AY31" s="2139"/>
      <c r="AZ31" s="2139"/>
      <c r="BA31" s="251"/>
      <c r="BB31" s="251"/>
      <c r="BC31" s="198"/>
      <c r="BD31" s="295"/>
      <c r="BE31" s="295"/>
      <c r="BF31" s="295"/>
      <c r="BG31" s="295"/>
      <c r="BH31" s="295"/>
    </row>
    <row r="32" spans="1:60"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7" t="s">
        <v>393</v>
      </c>
      <c r="T32" s="2137"/>
      <c r="U32" s="1290"/>
      <c r="V32" s="2138" t="str">
        <f>IF(TITLE_DATE_PR_CHANGE="",IF(TITLE_DATE_PR="","",TITLE_DATE_PR),TITLE_DATE_PR_CHANGE)</f>
        <v/>
      </c>
      <c r="W32" s="2138"/>
      <c r="X32" s="2138"/>
      <c r="Y32" s="2138"/>
      <c r="Z32" s="2138"/>
      <c r="AA32" s="2138"/>
      <c r="AB32" s="2138"/>
      <c r="AC32" s="251"/>
      <c r="AD32" s="2138" t="str">
        <f>IF(TITLE_DATE_PR_CHANGE="",IF(TITLE_DATE_PR="","",TITLE_DATE_PR),TITLE_DATE_PR_CHANGE)</f>
        <v/>
      </c>
      <c r="AE32" s="2138"/>
      <c r="AF32" s="2138"/>
      <c r="AG32" s="2138"/>
      <c r="AH32" s="2138"/>
      <c r="AI32" s="2138"/>
      <c r="AJ32" s="2138"/>
      <c r="AK32" s="2138"/>
      <c r="AL32" s="2138"/>
      <c r="AM32" s="2138"/>
      <c r="AN32" s="2138"/>
      <c r="AO32" s="2138"/>
      <c r="AP32" s="2138"/>
      <c r="AQ32" s="2138"/>
      <c r="AR32" s="2138"/>
      <c r="AS32" s="2138"/>
      <c r="AT32" s="2138"/>
      <c r="AU32" s="2138"/>
      <c r="AV32" s="2138"/>
      <c r="AW32" s="2138"/>
      <c r="AX32" s="2138"/>
      <c r="AY32" s="2138"/>
      <c r="AZ32" s="2138"/>
      <c r="BA32" s="251"/>
      <c r="BB32" s="251"/>
      <c r="BC32" s="198"/>
      <c r="BD32" s="295"/>
      <c r="BE32" s="295"/>
      <c r="BF32" s="295"/>
      <c r="BG32" s="295"/>
      <c r="BH32" s="295"/>
    </row>
    <row r="33" spans="1:60"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7" t="s">
        <v>394</v>
      </c>
      <c r="T33" s="2137"/>
      <c r="U33" s="1290"/>
      <c r="V33" s="2139" t="str">
        <f>IF(TITLE_NUMBER_PR_CHANGE="",IF(TITLE_NUMBER_PR="","",TITLE_NUMBER_PR),TITLE_NUMBER_PR_CHANGE)</f>
        <v/>
      </c>
      <c r="W33" s="2139"/>
      <c r="X33" s="2139"/>
      <c r="Y33" s="2139"/>
      <c r="Z33" s="2139"/>
      <c r="AA33" s="2139"/>
      <c r="AB33" s="2139"/>
      <c r="AC33" s="251"/>
      <c r="AD33" s="2139" t="str">
        <f>IF(TITLE_NUMBER_PR_CHANGE="",IF(TITLE_NUMBER_PR="","",TITLE_NUMBER_PR),TITLE_NUMBER_PR_CHANGE)</f>
        <v/>
      </c>
      <c r="AE33" s="2139"/>
      <c r="AF33" s="2139"/>
      <c r="AG33" s="2139"/>
      <c r="AH33" s="2139"/>
      <c r="AI33" s="2139"/>
      <c r="AJ33" s="2139"/>
      <c r="AK33" s="2139"/>
      <c r="AL33" s="2139"/>
      <c r="AM33" s="2139"/>
      <c r="AN33" s="2139"/>
      <c r="AO33" s="2139"/>
      <c r="AP33" s="2139"/>
      <c r="AQ33" s="2139"/>
      <c r="AR33" s="2139"/>
      <c r="AS33" s="2139"/>
      <c r="AT33" s="2139"/>
      <c r="AU33" s="2139"/>
      <c r="AV33" s="2139"/>
      <c r="AW33" s="2139"/>
      <c r="AX33" s="2139"/>
      <c r="AY33" s="2139"/>
      <c r="AZ33" s="2139"/>
      <c r="BA33" s="251"/>
      <c r="BB33" s="251"/>
      <c r="BC33" s="198"/>
      <c r="BD33" s="295"/>
      <c r="BE33" s="295"/>
      <c r="BF33" s="295"/>
      <c r="BG33" s="295"/>
      <c r="BH33" s="295"/>
    </row>
    <row r="34" spans="1:60" s="1887" customFormat="1" ht="18.75" hidden="1" customHeight="1">
      <c r="A34" s="1286"/>
      <c r="B34" s="1286"/>
      <c r="C34" s="1286"/>
      <c r="D34" s="1286"/>
      <c r="E34" s="1286"/>
      <c r="F34" s="1286"/>
      <c r="G34" s="1286"/>
      <c r="H34" s="1286"/>
      <c r="I34" s="1286"/>
      <c r="J34" s="1286"/>
      <c r="K34" s="1286"/>
      <c r="L34" s="1287"/>
      <c r="M34" s="1286"/>
      <c r="N34" s="1286"/>
      <c r="O34" s="1286"/>
      <c r="P34" s="1286"/>
      <c r="Q34" s="1286"/>
      <c r="S34" s="2137" t="s">
        <v>38</v>
      </c>
      <c r="T34" s="2137"/>
      <c r="U34" s="1290"/>
      <c r="V34" s="2139" t="str">
        <f>IF(TITLE_IST_PUB_CHANGE="",IF(TITLE_IST_PUB="","",TITLE_IST_PUB),TITLE_IST_PUB_CHANGE)</f>
        <v/>
      </c>
      <c r="W34" s="2139"/>
      <c r="X34" s="2139"/>
      <c r="Y34" s="2139"/>
      <c r="Z34" s="2139"/>
      <c r="AA34" s="2139"/>
      <c r="AB34" s="2139"/>
      <c r="AC34" s="251"/>
      <c r="AD34" s="2139" t="str">
        <f>IF(TITLE_IST_PUB_CHANGE="",IF(TITLE_IST_PUB="","",TITLE_IST_PUB),TITLE_IST_PUB_CHANGE)</f>
        <v/>
      </c>
      <c r="AE34" s="2139"/>
      <c r="AF34" s="2139"/>
      <c r="AG34" s="2139"/>
      <c r="AH34" s="2139"/>
      <c r="AI34" s="2139"/>
      <c r="AJ34" s="2139"/>
      <c r="AK34" s="2139"/>
      <c r="AL34" s="2139"/>
      <c r="AM34" s="2139"/>
      <c r="AN34" s="2139"/>
      <c r="AO34" s="2139"/>
      <c r="AP34" s="2139"/>
      <c r="AQ34" s="2139"/>
      <c r="AR34" s="2139"/>
      <c r="AS34" s="2139"/>
      <c r="AT34" s="2139"/>
      <c r="AU34" s="2139"/>
      <c r="AV34" s="2139"/>
      <c r="AW34" s="2139"/>
      <c r="AX34" s="2139"/>
      <c r="AY34" s="2139"/>
      <c r="AZ34" s="2139"/>
      <c r="BA34" s="251"/>
      <c r="BB34" s="251"/>
      <c r="BC34" s="198"/>
      <c r="BD34" s="295"/>
      <c r="BE34" s="295"/>
      <c r="BF34" s="295"/>
      <c r="BG34" s="295"/>
      <c r="BH34" s="295"/>
    </row>
    <row r="35" spans="1:60" ht="14.25" hidden="1" customHeight="1">
      <c r="Q35" s="208"/>
      <c r="R35" s="304"/>
      <c r="S35" s="1197"/>
      <c r="T35" s="289"/>
      <c r="U35" s="289"/>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434"/>
    </row>
    <row r="36" spans="1:60" s="1887" customFormat="1" ht="18.75" hidden="1" customHeight="1">
      <c r="A36" s="1286"/>
      <c r="B36" s="1286"/>
      <c r="C36" s="1286"/>
      <c r="D36" s="1286"/>
      <c r="E36" s="1286"/>
      <c r="F36" s="1286"/>
      <c r="G36" s="1286"/>
      <c r="H36" s="1286"/>
      <c r="I36" s="1286"/>
      <c r="J36" s="1286"/>
      <c r="K36" s="1286"/>
      <c r="L36" s="1287"/>
      <c r="M36" s="1286"/>
      <c r="N36" s="1286"/>
      <c r="O36" s="1286"/>
      <c r="P36" s="1286"/>
      <c r="Q36" s="1286"/>
      <c r="S36" s="2137" t="s">
        <v>393</v>
      </c>
      <c r="T36" s="2137"/>
      <c r="U36" s="1290"/>
      <c r="V36" s="2138" t="str">
        <f>IF(TITLE_DATE_PR_CHANGE="",IF(TITLE_DATE_PR="","",TITLE_DATE_PR),TITLE_DATE_PR_CHANGE)</f>
        <v/>
      </c>
      <c r="W36" s="2138"/>
      <c r="X36" s="2138"/>
      <c r="Y36" s="2138"/>
      <c r="Z36" s="2138"/>
      <c r="AA36" s="2138"/>
      <c r="AB36" s="2138"/>
      <c r="AC36" s="251"/>
      <c r="AD36" s="2138" t="str">
        <f>IF(TITLE_DATE_PR_CHANGE="",IF(TITLE_DATE_PR="","",TITLE_DATE_PR),TITLE_DATE_PR_CHANGE)</f>
        <v/>
      </c>
      <c r="AE36" s="2138"/>
      <c r="AF36" s="2138"/>
      <c r="AG36" s="2138"/>
      <c r="AH36" s="2138"/>
      <c r="AI36" s="2138"/>
      <c r="AJ36" s="2138"/>
      <c r="AK36" s="2138"/>
      <c r="AL36" s="2138"/>
      <c r="AM36" s="2138"/>
      <c r="AN36" s="2138"/>
      <c r="AO36" s="2138"/>
      <c r="AP36" s="2138"/>
      <c r="AQ36" s="2138"/>
      <c r="AR36" s="2138"/>
      <c r="AS36" s="2138"/>
      <c r="AT36" s="2138"/>
      <c r="AU36" s="2138"/>
      <c r="AV36" s="2138"/>
      <c r="AW36" s="2138"/>
      <c r="AX36" s="2138"/>
      <c r="AY36" s="2138"/>
      <c r="AZ36" s="2138"/>
      <c r="BA36" s="251"/>
      <c r="BB36" s="251"/>
      <c r="BC36" s="198"/>
      <c r="BD36" s="295"/>
      <c r="BE36" s="295"/>
      <c r="BF36" s="295"/>
      <c r="BG36" s="295"/>
      <c r="BH36" s="295"/>
    </row>
    <row r="37" spans="1:60" s="1887" customFormat="1" ht="18.75" hidden="1" customHeight="1">
      <c r="A37" s="1286"/>
      <c r="B37" s="1286"/>
      <c r="C37" s="1286"/>
      <c r="D37" s="1286"/>
      <c r="E37" s="1286"/>
      <c r="F37" s="1286"/>
      <c r="G37" s="1286"/>
      <c r="H37" s="1286"/>
      <c r="I37" s="1286"/>
      <c r="J37" s="1286"/>
      <c r="K37" s="1286"/>
      <c r="L37" s="1287"/>
      <c r="M37" s="1286"/>
      <c r="N37" s="1286"/>
      <c r="O37" s="1286"/>
      <c r="P37" s="1286"/>
      <c r="Q37" s="1286"/>
      <c r="S37" s="2137" t="s">
        <v>394</v>
      </c>
      <c r="T37" s="2137"/>
      <c r="U37" s="1290"/>
      <c r="V37" s="2139" t="str">
        <f>IF(TITLE_NUMBER_PR_CHANGE="",IF(TITLE_NUMBER_PR="","",TITLE_NUMBER_PR),TITLE_NUMBER_PR_CHANGE)</f>
        <v/>
      </c>
      <c r="W37" s="2139"/>
      <c r="X37" s="2139"/>
      <c r="Y37" s="2139"/>
      <c r="Z37" s="2139"/>
      <c r="AA37" s="2139"/>
      <c r="AB37" s="2139"/>
      <c r="AC37" s="251"/>
      <c r="AD37" s="2139" t="str">
        <f>IF(TITLE_NUMBER_PR_CHANGE="",IF(TITLE_NUMBER_PR="","",TITLE_NUMBER_PR),TITLE_NUMBER_PR_CHANGE)</f>
        <v/>
      </c>
      <c r="AE37" s="2139"/>
      <c r="AF37" s="2139"/>
      <c r="AG37" s="2139"/>
      <c r="AH37" s="2139"/>
      <c r="AI37" s="2139"/>
      <c r="AJ37" s="2139"/>
      <c r="AK37" s="2139"/>
      <c r="AL37" s="2139"/>
      <c r="AM37" s="2139"/>
      <c r="AN37" s="2139"/>
      <c r="AO37" s="2139"/>
      <c r="AP37" s="2139"/>
      <c r="AQ37" s="2139"/>
      <c r="AR37" s="2139"/>
      <c r="AS37" s="2139"/>
      <c r="AT37" s="2139"/>
      <c r="AU37" s="2139"/>
      <c r="AV37" s="2139"/>
      <c r="AW37" s="2139"/>
      <c r="AX37" s="2139"/>
      <c r="AY37" s="2139"/>
      <c r="AZ37" s="2139"/>
      <c r="BA37" s="251"/>
      <c r="BB37" s="251"/>
      <c r="BC37" s="198"/>
      <c r="BD37" s="295"/>
      <c r="BE37" s="295"/>
      <c r="BF37" s="295"/>
      <c r="BG37" s="295"/>
      <c r="BH37" s="295"/>
    </row>
    <row r="38" spans="1:60" s="1887" customFormat="1" ht="0" hidden="1" customHeight="1">
      <c r="A38" s="1286"/>
      <c r="B38" s="1286"/>
      <c r="C38" s="1286"/>
      <c r="D38" s="1286"/>
      <c r="E38" s="1286"/>
      <c r="F38" s="1286"/>
      <c r="G38" s="1286"/>
      <c r="H38" s="1286"/>
      <c r="I38" s="1286"/>
      <c r="J38" s="1286"/>
      <c r="K38" s="1286"/>
      <c r="L38" s="1287"/>
      <c r="M38" s="1286"/>
      <c r="N38" s="1286"/>
      <c r="O38" s="1286"/>
      <c r="P38" s="1286"/>
      <c r="Q38" s="1286"/>
      <c r="S38" s="247"/>
      <c r="T38" s="247"/>
      <c r="U38" s="1400"/>
      <c r="V38" s="251"/>
      <c r="W38" s="251"/>
      <c r="X38" s="251"/>
      <c r="Y38" s="251"/>
      <c r="Z38" s="251"/>
      <c r="AA38" s="251"/>
      <c r="AB38" s="251"/>
      <c r="AC38" s="196" t="s">
        <v>397</v>
      </c>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196" t="s">
        <v>397</v>
      </c>
      <c r="BD38" s="295"/>
      <c r="BE38" s="295"/>
      <c r="BF38" s="295"/>
      <c r="BG38" s="295"/>
      <c r="BH38" s="295"/>
    </row>
    <row r="39" spans="1:60" ht="14.25" customHeight="1">
      <c r="Q39" s="208"/>
      <c r="R39" s="304"/>
      <c r="S39" s="1197"/>
      <c r="T39" s="289"/>
      <c r="U39" s="1155"/>
      <c r="V39" s="2158"/>
      <c r="W39" s="2158"/>
      <c r="X39" s="2158"/>
      <c r="Y39" s="2158"/>
      <c r="Z39" s="2158"/>
      <c r="AA39" s="2158"/>
      <c r="AB39" s="2158"/>
      <c r="AC39" s="2158"/>
      <c r="AD39" s="2158"/>
      <c r="AE39" s="2158"/>
      <c r="AF39" s="2158"/>
      <c r="AG39" s="2158"/>
      <c r="AH39" s="2158"/>
      <c r="AI39" s="2158"/>
      <c r="AJ39" s="2158"/>
      <c r="AK39" s="2158"/>
      <c r="AL39" s="2158"/>
      <c r="AM39" s="2158"/>
      <c r="AN39" s="2158"/>
      <c r="AO39" s="2158"/>
      <c r="AP39" s="2158"/>
      <c r="AQ39" s="2158"/>
      <c r="AR39" s="2158"/>
      <c r="AS39" s="2158"/>
      <c r="AT39" s="2158"/>
      <c r="AU39" s="2158"/>
      <c r="AV39" s="2158"/>
      <c r="AW39" s="2158"/>
      <c r="AX39" s="2158"/>
      <c r="AY39" s="2158"/>
      <c r="AZ39" s="2158"/>
      <c r="BA39" s="2158"/>
    </row>
    <row r="40" spans="1:60" ht="14.25" customHeight="1">
      <c r="Q40" s="208"/>
      <c r="R40" s="304"/>
      <c r="S40" s="2019" t="s">
        <v>268</v>
      </c>
      <c r="T40" s="2019"/>
      <c r="U40" s="2019"/>
      <c r="V40" s="2019"/>
      <c r="W40" s="2019"/>
      <c r="X40" s="2019"/>
      <c r="Y40" s="2019"/>
      <c r="Z40" s="2019"/>
      <c r="AA40" s="2019"/>
      <c r="AB40" s="2019"/>
      <c r="AC40" s="2019"/>
      <c r="AD40" s="2019"/>
      <c r="AE40" s="2019"/>
      <c r="AF40" s="2019"/>
      <c r="AG40" s="2019"/>
      <c r="AH40" s="2019"/>
      <c r="AI40" s="2019"/>
      <c r="AJ40" s="2019"/>
      <c r="AK40" s="2019"/>
      <c r="AL40" s="2019"/>
      <c r="AM40" s="2019"/>
      <c r="AN40" s="2019"/>
      <c r="AO40" s="2019"/>
      <c r="AP40" s="2019"/>
      <c r="AQ40" s="2019"/>
      <c r="AR40" s="2019"/>
      <c r="AS40" s="2019"/>
      <c r="AT40" s="2019"/>
      <c r="AU40" s="2019"/>
      <c r="AV40" s="2019"/>
      <c r="AW40" s="2019"/>
      <c r="AX40" s="2019"/>
      <c r="AY40" s="2019"/>
      <c r="AZ40" s="2019"/>
      <c r="BA40" s="2019"/>
      <c r="BB40" s="2019"/>
      <c r="BC40" s="2019" t="s">
        <v>269</v>
      </c>
    </row>
    <row r="41" spans="1:60" ht="14.25" customHeight="1">
      <c r="Q41" s="208"/>
      <c r="R41" s="304"/>
      <c r="S41" s="2159" t="s">
        <v>73</v>
      </c>
      <c r="T41" s="2107" t="s">
        <v>475</v>
      </c>
      <c r="U41" s="218"/>
      <c r="V41" s="2160" t="s">
        <v>399</v>
      </c>
      <c r="W41" s="2161"/>
      <c r="X41" s="2161"/>
      <c r="Y41" s="2161"/>
      <c r="Z41" s="2161"/>
      <c r="AA41" s="2161"/>
      <c r="AB41" s="2162"/>
      <c r="AC41" s="2163" t="s">
        <v>400</v>
      </c>
      <c r="AD41" s="2185" t="s">
        <v>492</v>
      </c>
      <c r="AE41" s="2174"/>
      <c r="AF41" s="2174"/>
      <c r="AG41" s="2186"/>
      <c r="AH41" s="2185" t="s">
        <v>493</v>
      </c>
      <c r="AI41" s="2174"/>
      <c r="AJ41" s="2174"/>
      <c r="AK41" s="2186"/>
      <c r="AL41" s="2185" t="s">
        <v>494</v>
      </c>
      <c r="AM41" s="2174"/>
      <c r="AN41" s="2174"/>
      <c r="AO41" s="2186"/>
      <c r="AP41" s="2185" t="s">
        <v>479</v>
      </c>
      <c r="AQ41" s="2174"/>
      <c r="AR41" s="2174"/>
      <c r="AS41" s="2186"/>
      <c r="AT41" s="2160" t="s">
        <v>399</v>
      </c>
      <c r="AU41" s="2161"/>
      <c r="AV41" s="2161"/>
      <c r="AW41" s="2161"/>
      <c r="AX41" s="2161"/>
      <c r="AY41" s="2161"/>
      <c r="AZ41" s="2162"/>
      <c r="BA41" s="2163" t="s">
        <v>400</v>
      </c>
      <c r="BB41" s="2166" t="s">
        <v>402</v>
      </c>
      <c r="BC41" s="2019"/>
    </row>
    <row r="42" spans="1:60" ht="33.75" customHeight="1">
      <c r="Q42" s="208"/>
      <c r="R42" s="304"/>
      <c r="S42" s="2159"/>
      <c r="T42" s="2107"/>
      <c r="U42" s="940"/>
      <c r="V42" s="2077" t="s">
        <v>480</v>
      </c>
      <c r="W42" s="2078"/>
      <c r="X42" s="2077" t="s">
        <v>481</v>
      </c>
      <c r="Y42" s="2078"/>
      <c r="Z42" s="2077" t="s">
        <v>482</v>
      </c>
      <c r="AA42" s="2179"/>
      <c r="AB42" s="2078"/>
      <c r="AC42" s="2164"/>
      <c r="AD42" s="2187"/>
      <c r="AE42" s="2188"/>
      <c r="AF42" s="2188"/>
      <c r="AG42" s="2200"/>
      <c r="AH42" s="2187"/>
      <c r="AI42" s="2188"/>
      <c r="AJ42" s="2188"/>
      <c r="AK42" s="2200"/>
      <c r="AL42" s="2187"/>
      <c r="AM42" s="2188"/>
      <c r="AN42" s="2188"/>
      <c r="AO42" s="2200"/>
      <c r="AP42" s="2187"/>
      <c r="AQ42" s="2188"/>
      <c r="AR42" s="2188"/>
      <c r="AS42" s="2200"/>
      <c r="AT42" s="2077" t="s">
        <v>495</v>
      </c>
      <c r="AU42" s="2078"/>
      <c r="AV42" s="2077" t="s">
        <v>496</v>
      </c>
      <c r="AW42" s="2078"/>
      <c r="AX42" s="2077" t="s">
        <v>482</v>
      </c>
      <c r="AY42" s="2179"/>
      <c r="AZ42" s="2078"/>
      <c r="BA42" s="2164"/>
      <c r="BB42" s="2167"/>
      <c r="BC42" s="2019"/>
    </row>
    <row r="43" spans="1:60" ht="14.25" customHeight="1">
      <c r="Q43" s="208"/>
      <c r="R43" s="304"/>
      <c r="S43" s="2159"/>
      <c r="T43" s="2107"/>
      <c r="U43" s="940"/>
      <c r="V43" s="2082"/>
      <c r="W43" s="2083"/>
      <c r="X43" s="2082"/>
      <c r="Y43" s="2083"/>
      <c r="Z43" s="2082"/>
      <c r="AA43" s="2180"/>
      <c r="AB43" s="2083"/>
      <c r="AC43" s="2164"/>
      <c r="AD43" s="2187"/>
      <c r="AE43" s="2188"/>
      <c r="AF43" s="2188"/>
      <c r="AG43" s="2200"/>
      <c r="AH43" s="2187"/>
      <c r="AI43" s="2188"/>
      <c r="AJ43" s="2188"/>
      <c r="AK43" s="2200"/>
      <c r="AL43" s="2187"/>
      <c r="AM43" s="2188"/>
      <c r="AN43" s="2188"/>
      <c r="AO43" s="2200"/>
      <c r="AP43" s="2187"/>
      <c r="AQ43" s="2188"/>
      <c r="AR43" s="2188"/>
      <c r="AS43" s="2200"/>
      <c r="AT43" s="2082"/>
      <c r="AU43" s="2083"/>
      <c r="AV43" s="2082"/>
      <c r="AW43" s="2083"/>
      <c r="AX43" s="2082"/>
      <c r="AY43" s="2180"/>
      <c r="AZ43" s="2083"/>
      <c r="BA43" s="2164"/>
      <c r="BB43" s="2167"/>
      <c r="BC43" s="2019"/>
    </row>
    <row r="44" spans="1:60" ht="14.25" customHeight="1">
      <c r="A44" s="1288"/>
      <c r="B44" s="1288" t="s">
        <v>117</v>
      </c>
      <c r="C44" s="1288" t="s">
        <v>118</v>
      </c>
      <c r="D44" s="1288" t="s">
        <v>119</v>
      </c>
      <c r="E44" s="1282" t="s">
        <v>407</v>
      </c>
      <c r="F44" s="1282" t="s">
        <v>408</v>
      </c>
      <c r="G44" s="1282" t="s">
        <v>409</v>
      </c>
      <c r="H44" s="1282" t="s">
        <v>410</v>
      </c>
      <c r="I44" s="1282" t="s">
        <v>411</v>
      </c>
      <c r="J44" s="1282" t="s">
        <v>412</v>
      </c>
      <c r="K44" s="1282" t="s">
        <v>413</v>
      </c>
      <c r="L44" s="1282" t="s">
        <v>388</v>
      </c>
      <c r="Q44" s="208"/>
      <c r="R44" s="304"/>
      <c r="S44" s="2159"/>
      <c r="T44" s="2107"/>
      <c r="U44" s="219"/>
      <c r="V44" s="1391" t="s">
        <v>448</v>
      </c>
      <c r="W44" s="1391" t="s">
        <v>449</v>
      </c>
      <c r="X44" s="1391" t="s">
        <v>448</v>
      </c>
      <c r="Y44" s="1391" t="s">
        <v>449</v>
      </c>
      <c r="Z44" s="1401" t="s">
        <v>416</v>
      </c>
      <c r="AA44" s="2112" t="s">
        <v>417</v>
      </c>
      <c r="AB44" s="2126"/>
      <c r="AC44" s="2165"/>
      <c r="AD44" s="2189"/>
      <c r="AE44" s="2190"/>
      <c r="AF44" s="2190"/>
      <c r="AG44" s="2191"/>
      <c r="AH44" s="2189"/>
      <c r="AI44" s="2190"/>
      <c r="AJ44" s="2190"/>
      <c r="AK44" s="2191"/>
      <c r="AL44" s="2189"/>
      <c r="AM44" s="2190"/>
      <c r="AN44" s="2190"/>
      <c r="AO44" s="2191"/>
      <c r="AP44" s="2189"/>
      <c r="AQ44" s="2190"/>
      <c r="AR44" s="2190"/>
      <c r="AS44" s="2191"/>
      <c r="AT44" s="1391" t="s">
        <v>448</v>
      </c>
      <c r="AU44" s="1391" t="s">
        <v>449</v>
      </c>
      <c r="AV44" s="1391" t="s">
        <v>448</v>
      </c>
      <c r="AW44" s="1391" t="s">
        <v>449</v>
      </c>
      <c r="AX44" s="1401" t="s">
        <v>416</v>
      </c>
      <c r="AY44" s="2112" t="s">
        <v>417</v>
      </c>
      <c r="AZ44" s="2126"/>
      <c r="BA44" s="2165"/>
      <c r="BB44" s="2168"/>
      <c r="BC44" s="2019"/>
    </row>
    <row r="45" spans="1:60" s="1810" customFormat="1" ht="11.25" hidden="1" customHeight="1">
      <c r="A45" s="1288"/>
      <c r="B45" s="1288"/>
      <c r="C45" s="1288"/>
      <c r="D45" s="1288"/>
      <c r="E45" s="1288"/>
      <c r="F45" s="1288"/>
      <c r="G45" s="1288"/>
      <c r="H45" s="1288"/>
      <c r="I45" s="1288"/>
      <c r="J45" s="1288"/>
      <c r="K45" s="1288"/>
      <c r="L45" s="1282"/>
      <c r="M45" s="1280"/>
      <c r="N45" s="1280"/>
      <c r="O45" s="1280"/>
      <c r="P45" s="435"/>
      <c r="Q45" s="1173"/>
      <c r="R45" s="1173">
        <v>1</v>
      </c>
      <c r="S45" s="1199" t="s">
        <v>91</v>
      </c>
      <c r="T45" s="1174" t="s">
        <v>92</v>
      </c>
      <c r="U45" s="1156" t="str">
        <f ca="1">OFFSET(U45,0,-1)</f>
        <v>2</v>
      </c>
      <c r="V45" s="1394">
        <f t="shared" ref="V45:AA45" ca="1" si="2">OFFSET(V45,0,-1)+1</f>
        <v>3</v>
      </c>
      <c r="W45" s="1394">
        <f t="shared" ca="1" si="2"/>
        <v>4</v>
      </c>
      <c r="X45" s="1394">
        <f t="shared" ca="1" si="2"/>
        <v>5</v>
      </c>
      <c r="Y45" s="1394">
        <f t="shared" ca="1" si="2"/>
        <v>6</v>
      </c>
      <c r="Z45" s="1394">
        <f t="shared" ca="1" si="2"/>
        <v>7</v>
      </c>
      <c r="AA45" s="2157">
        <f t="shared" ca="1" si="2"/>
        <v>8</v>
      </c>
      <c r="AB45" s="2157"/>
      <c r="AC45" s="1394">
        <f ca="1">OFFSET(AC45,0,-2)+1</f>
        <v>9</v>
      </c>
      <c r="AD45" s="1394">
        <f ca="1">OFFSET(AD45,0,-1)+1</f>
        <v>10</v>
      </c>
      <c r="AE45" s="1394"/>
      <c r="AF45" s="1394"/>
      <c r="AG45" s="1394"/>
      <c r="AH45" s="1394"/>
      <c r="AI45" s="1394"/>
      <c r="AJ45" s="1394"/>
      <c r="AK45" s="1394"/>
      <c r="AL45" s="1394"/>
      <c r="AM45" s="1394"/>
      <c r="AN45" s="1394"/>
      <c r="AO45" s="1394"/>
      <c r="AP45" s="1394"/>
      <c r="AQ45" s="1394"/>
      <c r="AR45" s="1394"/>
      <c r="AS45" s="1394"/>
      <c r="AT45" s="1394"/>
      <c r="AU45" s="1394"/>
      <c r="AV45" s="1394"/>
      <c r="AW45" s="1394">
        <f ca="1">OFFSET(AW45,0,-1)+1</f>
        <v>1</v>
      </c>
      <c r="AX45" s="1394">
        <f ca="1">OFFSET(AX45,0,-1)+1</f>
        <v>2</v>
      </c>
      <c r="AY45" s="2157">
        <f ca="1">OFFSET(AY45,0,-1)+1</f>
        <v>3</v>
      </c>
      <c r="AZ45" s="2157"/>
      <c r="BA45" s="1394">
        <f ca="1">OFFSET(BA45,0,-2)+1</f>
        <v>4</v>
      </c>
      <c r="BB45" s="1156">
        <f ca="1">OFFSET(BB45,0,-1)</f>
        <v>4</v>
      </c>
      <c r="BC45" s="1394">
        <f ca="1">OFFSET(BC45,0,-1)+1</f>
        <v>5</v>
      </c>
      <c r="BD45" s="436"/>
      <c r="BE45" s="436"/>
      <c r="BF45" s="436"/>
      <c r="BG45" s="436"/>
      <c r="BH45" s="436"/>
    </row>
    <row r="46" spans="1:60" ht="21" customHeight="1">
      <c r="A46" s="1281" t="s">
        <v>244</v>
      </c>
      <c r="B46" s="1281"/>
      <c r="C46" s="1281"/>
      <c r="D46" s="1281"/>
      <c r="E46" s="2146">
        <v>1</v>
      </c>
      <c r="F46" s="1281"/>
      <c r="G46" s="1281"/>
      <c r="H46" s="1281"/>
      <c r="I46" s="1281"/>
      <c r="J46" s="1281"/>
      <c r="K46" s="1281"/>
      <c r="L46" s="1282"/>
      <c r="M46" s="1283"/>
      <c r="N46" s="1283"/>
      <c r="O46" s="1283"/>
      <c r="P46" s="1327"/>
      <c r="Q46" s="787"/>
      <c r="R46" s="279"/>
      <c r="S46" s="1405">
        <f>INDEX(PT_DIFFERENTIATION_NUM_NTAR,MATCH(A46,PT_DIFFERENTIATION_NTAR_ID,0))</f>
        <v>0</v>
      </c>
      <c r="T46" s="215" t="s">
        <v>105</v>
      </c>
      <c r="U46" s="217"/>
      <c r="V46" s="2141"/>
      <c r="W46" s="2141"/>
      <c r="X46" s="2141"/>
      <c r="Y46" s="2141"/>
      <c r="Z46" s="2141"/>
      <c r="AA46" s="2141"/>
      <c r="AB46" s="2141"/>
      <c r="AC46" s="2142"/>
      <c r="AD46" s="2140" t="str">
        <f>INDEX(PT_DIFFERENTIATION_NTAR,MATCH(A46,PT_DIFFERENTIATION_NTAR_ID,0))</f>
        <v/>
      </c>
      <c r="AE46" s="2141"/>
      <c r="AF46" s="2141"/>
      <c r="AG46" s="2141"/>
      <c r="AH46" s="2141"/>
      <c r="AI46" s="2141"/>
      <c r="AJ46" s="2141"/>
      <c r="AK46" s="2141"/>
      <c r="AL46" s="2141"/>
      <c r="AM46" s="2141"/>
      <c r="AN46" s="2141"/>
      <c r="AO46" s="2141"/>
      <c r="AP46" s="2141"/>
      <c r="AQ46" s="2141"/>
      <c r="AR46" s="2141"/>
      <c r="AS46" s="2141"/>
      <c r="AT46" s="2141"/>
      <c r="AU46" s="2141"/>
      <c r="AV46" s="2141"/>
      <c r="AW46" s="2141"/>
      <c r="AX46" s="2141"/>
      <c r="AY46" s="2141"/>
      <c r="AZ46" s="2141"/>
      <c r="BA46" s="2141"/>
      <c r="BB46" s="2142"/>
      <c r="BC46"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5"/>
      <c r="BF46" s="425" t="str">
        <f t="shared" ref="BF46:BF52" si="3">IF(T46="","",T46)</f>
        <v>Наименование тарифа</v>
      </c>
      <c r="BG46" s="425"/>
      <c r="BH46" s="425"/>
    </row>
    <row r="47" spans="1:60" ht="21" customHeight="1">
      <c r="A47" s="1281" t="s">
        <v>244</v>
      </c>
      <c r="B47" s="1281" t="s">
        <v>245</v>
      </c>
      <c r="C47" s="1281"/>
      <c r="D47" s="1281"/>
      <c r="E47" s="2147"/>
      <c r="F47" s="2146">
        <v>1</v>
      </c>
      <c r="G47" s="1281"/>
      <c r="H47" s="1281"/>
      <c r="I47" s="1281"/>
      <c r="J47" s="1281"/>
      <c r="K47" s="1281"/>
      <c r="L47" s="1282"/>
      <c r="M47" s="1283"/>
      <c r="N47" s="1283"/>
      <c r="O47" s="1283"/>
      <c r="P47" s="1328"/>
      <c r="Q47" s="1329"/>
      <c r="R47" s="277"/>
      <c r="S47" s="1405" t="str">
        <f>INDEX(PT_DIFFERENTIATION_NUM_TER,MATCH(B47,PT_DIFFERENTIATION_TER_ID,0))</f>
        <v>.</v>
      </c>
      <c r="T47" s="227" t="s">
        <v>367</v>
      </c>
      <c r="U47" s="217"/>
      <c r="V47" s="2141"/>
      <c r="W47" s="2141"/>
      <c r="X47" s="2141"/>
      <c r="Y47" s="2141"/>
      <c r="Z47" s="2141"/>
      <c r="AA47" s="2141"/>
      <c r="AB47" s="2141"/>
      <c r="AC47" s="2142"/>
      <c r="AD47" s="2140" t="str">
        <f>INDEX(PT_DIFFERENTIATION_TER,MATCH(B47,PT_DIFFERENTIATION_TER_ID,0))</f>
        <v/>
      </c>
      <c r="AE47" s="2141"/>
      <c r="AF47" s="2141"/>
      <c r="AG47" s="2141"/>
      <c r="AH47" s="2141"/>
      <c r="AI47" s="2141"/>
      <c r="AJ47" s="2141"/>
      <c r="AK47" s="2141"/>
      <c r="AL47" s="2141"/>
      <c r="AM47" s="2141"/>
      <c r="AN47" s="2141"/>
      <c r="AO47" s="2141"/>
      <c r="AP47" s="2141"/>
      <c r="AQ47" s="2141"/>
      <c r="AR47" s="2141"/>
      <c r="AS47" s="2141"/>
      <c r="AT47" s="2141"/>
      <c r="AU47" s="2141"/>
      <c r="AV47" s="2141"/>
      <c r="AW47" s="2141"/>
      <c r="AX47" s="2141"/>
      <c r="AY47" s="2141"/>
      <c r="AZ47" s="2141"/>
      <c r="BA47" s="2141"/>
      <c r="BB47" s="2142"/>
      <c r="BC47" s="1179" t="s">
        <v>368</v>
      </c>
      <c r="BE47" s="425"/>
      <c r="BF47" s="425" t="str">
        <f t="shared" si="3"/>
        <v>Территория действия тарифа</v>
      </c>
      <c r="BG47" s="425"/>
      <c r="BH47" s="425"/>
    </row>
    <row r="48" spans="1:60" ht="33.75" customHeight="1">
      <c r="A48" s="1281" t="s">
        <v>244</v>
      </c>
      <c r="B48" s="1281" t="s">
        <v>245</v>
      </c>
      <c r="C48" s="1281" t="s">
        <v>246</v>
      </c>
      <c r="D48" s="1281"/>
      <c r="E48" s="2147"/>
      <c r="F48" s="2147"/>
      <c r="G48" s="2146">
        <v>1</v>
      </c>
      <c r="H48" s="1281"/>
      <c r="I48" s="1281"/>
      <c r="J48" s="1281"/>
      <c r="K48" s="1281"/>
      <c r="L48" s="1282"/>
      <c r="M48" s="1283"/>
      <c r="N48" s="1283"/>
      <c r="O48" s="1283"/>
      <c r="P48" s="1330"/>
      <c r="Q48" s="1329"/>
      <c r="R48" s="277"/>
      <c r="S48" s="1405" t="str">
        <f>INDEX(PT_DIFFERENTIATION_NUM_CS,MATCH(C48,PT_DIFFERENTIATION_CS_ID,0))</f>
        <v>..</v>
      </c>
      <c r="T48" s="228" t="s">
        <v>484</v>
      </c>
      <c r="U48" s="217"/>
      <c r="V48" s="2141"/>
      <c r="W48" s="2141"/>
      <c r="X48" s="2141"/>
      <c r="Y48" s="2141"/>
      <c r="Z48" s="2141"/>
      <c r="AA48" s="2141"/>
      <c r="AB48" s="2141"/>
      <c r="AC48" s="2142"/>
      <c r="AD48" s="2140" t="str">
        <f>INDEX(PT_DIFFERENTIATION_CS,MATCH(C48,PT_DIFFERENTIATION_CS_ID,0))</f>
        <v/>
      </c>
      <c r="AE48" s="2141"/>
      <c r="AF48" s="2141"/>
      <c r="AG48" s="2141"/>
      <c r="AH48" s="2141"/>
      <c r="AI48" s="2141"/>
      <c r="AJ48" s="2141"/>
      <c r="AK48" s="2141"/>
      <c r="AL48" s="2141"/>
      <c r="AM48" s="2141"/>
      <c r="AN48" s="2141"/>
      <c r="AO48" s="2141"/>
      <c r="AP48" s="2141"/>
      <c r="AQ48" s="2141"/>
      <c r="AR48" s="2141"/>
      <c r="AS48" s="2141"/>
      <c r="AT48" s="2141"/>
      <c r="AU48" s="2141"/>
      <c r="AV48" s="2141"/>
      <c r="AW48" s="2141"/>
      <c r="AX48" s="2141"/>
      <c r="AY48" s="2141"/>
      <c r="AZ48" s="2141"/>
      <c r="BA48" s="2141"/>
      <c r="BB48" s="2142"/>
      <c r="BC48" s="1179" t="s">
        <v>485</v>
      </c>
      <c r="BE48" s="425"/>
      <c r="BF48" s="425" t="str">
        <f t="shared" si="3"/>
        <v>Наименование централизованной системы водоотведения</v>
      </c>
      <c r="BG48" s="425"/>
      <c r="BH48" s="425"/>
    </row>
    <row r="49" spans="1:60" s="1811" customFormat="1" ht="0" hidden="1" customHeight="1">
      <c r="A49" s="1262" t="s">
        <v>244</v>
      </c>
      <c r="B49" s="1262" t="s">
        <v>245</v>
      </c>
      <c r="C49" s="1262" t="s">
        <v>246</v>
      </c>
      <c r="D49" s="1262" t="s">
        <v>497</v>
      </c>
      <c r="E49" s="2147"/>
      <c r="F49" s="2147"/>
      <c r="G49" s="2147"/>
      <c r="H49" s="2146">
        <v>1</v>
      </c>
      <c r="I49" s="1262"/>
      <c r="J49" s="1262"/>
      <c r="K49" s="1262"/>
      <c r="L49" s="1265"/>
      <c r="M49" s="1235"/>
      <c r="N49" s="1235"/>
      <c r="O49" s="1235"/>
      <c r="P49" s="1409"/>
      <c r="Q49" s="1410"/>
      <c r="R49" s="281"/>
      <c r="S49" s="951"/>
      <c r="T49" s="1411"/>
      <c r="U49" s="1302"/>
      <c r="V49" s="2176"/>
      <c r="W49" s="2176"/>
      <c r="X49" s="2176"/>
      <c r="Y49" s="2176"/>
      <c r="Z49" s="2176"/>
      <c r="AA49" s="2176"/>
      <c r="AB49" s="2176"/>
      <c r="AC49" s="2177"/>
      <c r="AD49" s="2175"/>
      <c r="AE49" s="2176"/>
      <c r="AF49" s="2176"/>
      <c r="AG49" s="2176"/>
      <c r="AH49" s="2176"/>
      <c r="AI49" s="2176"/>
      <c r="AJ49" s="2176"/>
      <c r="AK49" s="2176"/>
      <c r="AL49" s="2176"/>
      <c r="AM49" s="2176"/>
      <c r="AN49" s="2176"/>
      <c r="AO49" s="2176"/>
      <c r="AP49" s="2176"/>
      <c r="AQ49" s="2176"/>
      <c r="AR49" s="2176"/>
      <c r="AS49" s="2176"/>
      <c r="AT49" s="2176"/>
      <c r="AU49" s="2176"/>
      <c r="AV49" s="2176"/>
      <c r="AW49" s="2176"/>
      <c r="AX49" s="2176"/>
      <c r="AY49" s="2176"/>
      <c r="AZ49" s="2176"/>
      <c r="BA49" s="2176"/>
      <c r="BB49" s="2177"/>
      <c r="BC49" s="1303" t="s">
        <v>372</v>
      </c>
      <c r="BE49" s="425"/>
      <c r="BF49" s="425" t="str">
        <f t="shared" si="3"/>
        <v/>
      </c>
      <c r="BG49" s="425"/>
      <c r="BH49" s="425"/>
    </row>
    <row r="50" spans="1:60" s="1811" customFormat="1" ht="0" hidden="1" customHeight="1">
      <c r="A50" s="1262" t="s">
        <v>244</v>
      </c>
      <c r="B50" s="1262" t="s">
        <v>245</v>
      </c>
      <c r="C50" s="1262" t="s">
        <v>246</v>
      </c>
      <c r="D50" s="1262" t="s">
        <v>497</v>
      </c>
      <c r="E50" s="2147"/>
      <c r="F50" s="2147"/>
      <c r="G50" s="2147"/>
      <c r="H50" s="2147"/>
      <c r="I50" s="2148" t="str">
        <f>S49&amp;".1"</f>
        <v>.1</v>
      </c>
      <c r="J50" s="1262"/>
      <c r="K50" s="1262"/>
      <c r="L50" s="1265" t="s">
        <v>373</v>
      </c>
      <c r="M50" s="435"/>
      <c r="N50" s="435"/>
      <c r="O50" s="435"/>
      <c r="P50" s="2150">
        <v>1</v>
      </c>
      <c r="Q50" s="1393"/>
      <c r="R50" s="280"/>
      <c r="S50" s="951"/>
      <c r="T50" s="1301"/>
      <c r="U50" s="1302"/>
      <c r="V50" s="2176"/>
      <c r="W50" s="2176"/>
      <c r="X50" s="2176"/>
      <c r="Y50" s="2176"/>
      <c r="Z50" s="2176"/>
      <c r="AA50" s="2176"/>
      <c r="AB50" s="2176"/>
      <c r="AC50" s="2177"/>
      <c r="AD50" s="2175"/>
      <c r="AE50" s="2176"/>
      <c r="AF50" s="2176"/>
      <c r="AG50" s="2176"/>
      <c r="AH50" s="2176"/>
      <c r="AI50" s="2176"/>
      <c r="AJ50" s="2176"/>
      <c r="AK50" s="2176"/>
      <c r="AL50" s="2176"/>
      <c r="AM50" s="2176"/>
      <c r="AN50" s="2176"/>
      <c r="AO50" s="2176"/>
      <c r="AP50" s="2176"/>
      <c r="AQ50" s="2176"/>
      <c r="AR50" s="2176"/>
      <c r="AS50" s="2176"/>
      <c r="AT50" s="2176"/>
      <c r="AU50" s="2176"/>
      <c r="AV50" s="2176"/>
      <c r="AW50" s="2176"/>
      <c r="AX50" s="2176"/>
      <c r="AY50" s="2176"/>
      <c r="AZ50" s="2176"/>
      <c r="BA50" s="2176"/>
      <c r="BB50" s="2177"/>
      <c r="BC50" s="1303"/>
      <c r="BE50" s="425"/>
      <c r="BF50" s="425" t="str">
        <f t="shared" si="3"/>
        <v/>
      </c>
      <c r="BG50" s="425"/>
      <c r="BH50" s="425"/>
    </row>
    <row r="51" spans="1:60" s="1811" customFormat="1" ht="0" hidden="1" customHeight="1">
      <c r="A51" s="1262" t="s">
        <v>244</v>
      </c>
      <c r="B51" s="1262" t="s">
        <v>245</v>
      </c>
      <c r="C51" s="1262" t="s">
        <v>246</v>
      </c>
      <c r="D51" s="1262" t="s">
        <v>497</v>
      </c>
      <c r="E51" s="2147"/>
      <c r="F51" s="2147"/>
      <c r="G51" s="2147"/>
      <c r="H51" s="2147"/>
      <c r="I51" s="2149"/>
      <c r="J51" s="2148" t="str">
        <f>S49&amp;".1"</f>
        <v>.1</v>
      </c>
      <c r="K51" s="1262"/>
      <c r="L51" s="1265"/>
      <c r="M51" s="435"/>
      <c r="N51" s="435"/>
      <c r="O51" s="435"/>
      <c r="P51" s="2150"/>
      <c r="Q51" s="2150">
        <v>1</v>
      </c>
      <c r="R51" s="281"/>
      <c r="S51" s="951"/>
      <c r="T51" s="1317"/>
      <c r="U51" s="1302"/>
      <c r="V51" s="2176"/>
      <c r="W51" s="2176"/>
      <c r="X51" s="2176"/>
      <c r="Y51" s="2176"/>
      <c r="Z51" s="2176"/>
      <c r="AA51" s="2176"/>
      <c r="AB51" s="2176"/>
      <c r="AC51" s="2177"/>
      <c r="AD51" s="2175"/>
      <c r="AE51" s="2176"/>
      <c r="AF51" s="2176"/>
      <c r="AG51" s="2176"/>
      <c r="AH51" s="2176"/>
      <c r="AI51" s="2176"/>
      <c r="AJ51" s="2176"/>
      <c r="AK51" s="2176"/>
      <c r="AL51" s="2176"/>
      <c r="AM51" s="2176"/>
      <c r="AN51" s="2221"/>
      <c r="AO51" s="2221"/>
      <c r="AP51" s="2176"/>
      <c r="AQ51" s="2176"/>
      <c r="AR51" s="2176"/>
      <c r="AS51" s="2176"/>
      <c r="AT51" s="2176"/>
      <c r="AU51" s="2176"/>
      <c r="AV51" s="2176"/>
      <c r="AW51" s="2176"/>
      <c r="AX51" s="2176"/>
      <c r="AY51" s="2176"/>
      <c r="AZ51" s="2176"/>
      <c r="BA51" s="2176"/>
      <c r="BB51" s="2177"/>
      <c r="BC51" s="1303"/>
      <c r="BE51" s="425"/>
      <c r="BF51" s="425" t="str">
        <f t="shared" si="3"/>
        <v/>
      </c>
      <c r="BG51" s="425"/>
      <c r="BH51" s="425"/>
    </row>
    <row r="52" spans="1:60" ht="11.25" customHeight="1">
      <c r="A52" s="1281" t="s">
        <v>244</v>
      </c>
      <c r="B52" s="1281" t="s">
        <v>245</v>
      </c>
      <c r="C52" s="1281" t="s">
        <v>246</v>
      </c>
      <c r="D52" s="1281" t="s">
        <v>497</v>
      </c>
      <c r="E52" s="2147"/>
      <c r="F52" s="2147"/>
      <c r="G52" s="2147"/>
      <c r="H52" s="2147"/>
      <c r="I52" s="2149"/>
      <c r="J52" s="2149"/>
      <c r="K52" s="2148" t="str">
        <f>S48&amp;".1"</f>
        <v>...1</v>
      </c>
      <c r="L52" s="1282"/>
      <c r="P52" s="2150"/>
      <c r="Q52" s="2150"/>
      <c r="R52" s="281">
        <v>1</v>
      </c>
      <c r="S52" s="2196" t="str">
        <f>$K52</f>
        <v>...1</v>
      </c>
      <c r="T52" s="2215"/>
      <c r="U52" s="217"/>
      <c r="V52" s="668"/>
      <c r="W52" s="1178"/>
      <c r="X52" s="668"/>
      <c r="Y52" s="1178"/>
      <c r="Z52" s="1646"/>
      <c r="AA52" s="1382" t="s">
        <v>50</v>
      </c>
      <c r="AB52" s="1646"/>
      <c r="AC52" s="1382" t="s">
        <v>50</v>
      </c>
      <c r="AD52" s="2089" t="s">
        <v>50</v>
      </c>
      <c r="AE52" s="2192"/>
      <c r="AF52" s="2102">
        <v>1</v>
      </c>
      <c r="AG52" s="2214"/>
      <c r="AH52" s="2029" t="s">
        <v>50</v>
      </c>
      <c r="AI52" s="2192"/>
      <c r="AJ52" s="2102">
        <v>1</v>
      </c>
      <c r="AK52" s="2213" t="s">
        <v>18</v>
      </c>
      <c r="AL52" s="2029" t="s">
        <v>50</v>
      </c>
      <c r="AM52" s="2077"/>
      <c r="AN52" s="2102">
        <v>1</v>
      </c>
      <c r="AO52" s="2218"/>
      <c r="AP52" s="2219" t="s">
        <v>50</v>
      </c>
      <c r="AQ52" s="230"/>
      <c r="AR52" s="1398">
        <v>1</v>
      </c>
      <c r="AS52" s="1404" t="s">
        <v>18</v>
      </c>
      <c r="AT52" s="668"/>
      <c r="AU52" s="1178"/>
      <c r="AV52" s="668"/>
      <c r="AW52" s="1178"/>
      <c r="AX52" s="1646"/>
      <c r="AY52" s="1382" t="s">
        <v>50</v>
      </c>
      <c r="AZ52" s="1646"/>
      <c r="BA52" s="1382" t="s">
        <v>50</v>
      </c>
      <c r="BB52" s="1267"/>
      <c r="BC52" s="2169" t="s">
        <v>469</v>
      </c>
      <c r="BE52" s="425"/>
      <c r="BF52" s="425" t="str">
        <f t="shared" si="3"/>
        <v/>
      </c>
      <c r="BG52" s="425"/>
      <c r="BH52" s="425"/>
    </row>
    <row r="53" spans="1:60" ht="11.25" customHeight="1">
      <c r="A53" s="1281"/>
      <c r="B53" s="1281"/>
      <c r="C53" s="1281"/>
      <c r="D53" s="1281"/>
      <c r="E53" s="2147"/>
      <c r="F53" s="2147"/>
      <c r="G53" s="2147"/>
      <c r="H53" s="2147"/>
      <c r="I53" s="2149"/>
      <c r="J53" s="2149"/>
      <c r="K53" s="2148"/>
      <c r="L53" s="1282"/>
      <c r="P53" s="2150"/>
      <c r="Q53" s="2150"/>
      <c r="R53" s="281"/>
      <c r="S53" s="2197"/>
      <c r="T53" s="2216"/>
      <c r="U53" s="217"/>
      <c r="V53" s="1311"/>
      <c r="W53" s="1408"/>
      <c r="X53" s="1311"/>
      <c r="Y53" s="1408"/>
      <c r="Z53" s="1311"/>
      <c r="AA53" s="1311"/>
      <c r="AB53" s="1311"/>
      <c r="AC53" s="1311"/>
      <c r="AD53" s="2090"/>
      <c r="AE53" s="2192"/>
      <c r="AF53" s="2102"/>
      <c r="AG53" s="2214"/>
      <c r="AH53" s="2029"/>
      <c r="AI53" s="2192"/>
      <c r="AJ53" s="2102"/>
      <c r="AK53" s="2213"/>
      <c r="AL53" s="2029"/>
      <c r="AM53" s="2082"/>
      <c r="AN53" s="2102"/>
      <c r="AO53" s="2218"/>
      <c r="AP53" s="2220"/>
      <c r="AQ53" s="237"/>
      <c r="AR53" s="349"/>
      <c r="AS53" s="349" t="s">
        <v>470</v>
      </c>
      <c r="AT53" s="1311"/>
      <c r="AU53" s="1408"/>
      <c r="AV53" s="1311"/>
      <c r="AW53" s="1408"/>
      <c r="AX53" s="1311"/>
      <c r="AY53" s="1311"/>
      <c r="AZ53" s="1311"/>
      <c r="BA53" s="1311"/>
      <c r="BB53" s="1315"/>
      <c r="BC53" s="2170"/>
      <c r="BE53" s="425"/>
      <c r="BF53" s="425"/>
      <c r="BG53" s="425"/>
      <c r="BH53" s="425"/>
    </row>
    <row r="54" spans="1:60" ht="11.25" customHeight="1">
      <c r="A54" s="1281" t="s">
        <v>244</v>
      </c>
      <c r="B54" s="1281"/>
      <c r="C54" s="1281"/>
      <c r="D54" s="1281"/>
      <c r="E54" s="2147"/>
      <c r="F54" s="2147"/>
      <c r="G54" s="2147"/>
      <c r="H54" s="2147"/>
      <c r="I54" s="2149"/>
      <c r="J54" s="2149"/>
      <c r="K54" s="2148"/>
      <c r="L54" s="1282"/>
      <c r="P54" s="2150"/>
      <c r="Q54" s="2150"/>
      <c r="R54" s="281"/>
      <c r="S54" s="2197"/>
      <c r="T54" s="2216"/>
      <c r="U54" s="217"/>
      <c r="V54" s="1311"/>
      <c r="W54" s="1408"/>
      <c r="X54" s="1311"/>
      <c r="Y54" s="1408"/>
      <c r="Z54" s="1311"/>
      <c r="AA54" s="1311"/>
      <c r="AB54" s="1311"/>
      <c r="AC54" s="1311"/>
      <c r="AD54" s="2090"/>
      <c r="AE54" s="2192"/>
      <c r="AF54" s="2102"/>
      <c r="AG54" s="2214"/>
      <c r="AH54" s="2029"/>
      <c r="AI54" s="2192"/>
      <c r="AJ54" s="2102"/>
      <c r="AK54" s="2213"/>
      <c r="AL54" s="2029"/>
      <c r="AM54" s="237"/>
      <c r="AN54" s="1412"/>
      <c r="AO54" s="1412" t="s">
        <v>490</v>
      </c>
      <c r="AP54" s="349"/>
      <c r="AQ54" s="349"/>
      <c r="AR54" s="349"/>
      <c r="AS54" s="1311"/>
      <c r="AT54" s="1311"/>
      <c r="AU54" s="1408"/>
      <c r="AV54" s="1311"/>
      <c r="AW54" s="1408"/>
      <c r="AX54" s="1311"/>
      <c r="AY54" s="1311"/>
      <c r="AZ54" s="1311"/>
      <c r="BA54" s="1311"/>
      <c r="BB54" s="1315"/>
      <c r="BC54" s="2170"/>
      <c r="BE54" s="425"/>
      <c r="BF54" s="425"/>
      <c r="BG54" s="425"/>
      <c r="BH54" s="425"/>
    </row>
    <row r="55" spans="1:60" ht="11.25" customHeight="1">
      <c r="A55" s="1281" t="s">
        <v>244</v>
      </c>
      <c r="B55" s="1281"/>
      <c r="C55" s="1281"/>
      <c r="D55" s="1281"/>
      <c r="E55" s="2147"/>
      <c r="F55" s="2147"/>
      <c r="G55" s="2147"/>
      <c r="H55" s="2147"/>
      <c r="I55" s="2149"/>
      <c r="J55" s="2149"/>
      <c r="K55" s="2148"/>
      <c r="L55" s="1282"/>
      <c r="P55" s="2150"/>
      <c r="Q55" s="2150"/>
      <c r="R55" s="281"/>
      <c r="S55" s="2197"/>
      <c r="T55" s="2216"/>
      <c r="U55" s="217"/>
      <c r="V55" s="1311"/>
      <c r="W55" s="1408"/>
      <c r="X55" s="1311"/>
      <c r="Y55" s="1408"/>
      <c r="Z55" s="1311"/>
      <c r="AA55" s="1311"/>
      <c r="AB55" s="1311"/>
      <c r="AC55" s="1311"/>
      <c r="AD55" s="2090"/>
      <c r="AE55" s="2192"/>
      <c r="AF55" s="2102"/>
      <c r="AG55" s="2214"/>
      <c r="AH55" s="2029"/>
      <c r="AI55" s="211"/>
      <c r="AJ55" s="348"/>
      <c r="AK55" s="232" t="s">
        <v>491</v>
      </c>
      <c r="AL55" s="1311"/>
      <c r="AM55" s="1311"/>
      <c r="AN55" s="1311"/>
      <c r="AO55" s="1311"/>
      <c r="AP55" s="1311"/>
      <c r="AQ55" s="1311"/>
      <c r="AR55" s="1311"/>
      <c r="AS55" s="1311"/>
      <c r="AT55" s="1311"/>
      <c r="AU55" s="1408"/>
      <c r="AV55" s="1311"/>
      <c r="AW55" s="1408"/>
      <c r="AX55" s="1311"/>
      <c r="AY55" s="1311"/>
      <c r="AZ55" s="1311"/>
      <c r="BA55" s="1311"/>
      <c r="BB55" s="1315"/>
      <c r="BC55" s="2170"/>
      <c r="BE55" s="425"/>
      <c r="BF55" s="425"/>
      <c r="BG55" s="425"/>
      <c r="BH55" s="425"/>
    </row>
    <row r="56" spans="1:60" ht="11.25" customHeight="1">
      <c r="A56" s="1281" t="s">
        <v>244</v>
      </c>
      <c r="B56" s="1281" t="s">
        <v>245</v>
      </c>
      <c r="C56" s="1281" t="s">
        <v>246</v>
      </c>
      <c r="D56" s="1281" t="s">
        <v>497</v>
      </c>
      <c r="E56" s="2147"/>
      <c r="F56" s="2147"/>
      <c r="G56" s="2147"/>
      <c r="H56" s="2147"/>
      <c r="I56" s="2149"/>
      <c r="J56" s="2149"/>
      <c r="K56" s="2148"/>
      <c r="L56" s="1282"/>
      <c r="P56" s="2150"/>
      <c r="Q56" s="2150"/>
      <c r="R56" s="281"/>
      <c r="S56" s="2198"/>
      <c r="T56" s="2217"/>
      <c r="U56" s="217"/>
      <c r="V56" s="1311"/>
      <c r="W56" s="1312" t="str">
        <f>Z52&amp;"-"&amp;AB52</f>
        <v>-</v>
      </c>
      <c r="X56" s="1311"/>
      <c r="Y56" s="1312" t="str">
        <f>AB52&amp;"-"&amp;AD52</f>
        <v>-да</v>
      </c>
      <c r="Z56" s="1311"/>
      <c r="AA56" s="1311"/>
      <c r="AB56" s="1311"/>
      <c r="AC56" s="1311"/>
      <c r="AD56" s="2034"/>
      <c r="AE56" s="231"/>
      <c r="AF56" s="233"/>
      <c r="AG56" s="349" t="s">
        <v>473</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170"/>
      <c r="BE56" s="425"/>
      <c r="BF56" s="425" t="str">
        <f t="shared" ref="BF56:BF63" si="4">IF(T56="","",T56)</f>
        <v/>
      </c>
      <c r="BG56" s="425"/>
      <c r="BH56" s="425"/>
    </row>
    <row r="57" spans="1:60" ht="11.25" customHeight="1">
      <c r="A57" s="1281" t="s">
        <v>244</v>
      </c>
      <c r="B57" s="1281" t="s">
        <v>245</v>
      </c>
      <c r="C57" s="1281" t="s">
        <v>246</v>
      </c>
      <c r="D57" s="1281" t="s">
        <v>497</v>
      </c>
      <c r="E57" s="2147"/>
      <c r="F57" s="2147"/>
      <c r="G57" s="2147"/>
      <c r="H57" s="2147"/>
      <c r="I57" s="2149"/>
      <c r="J57" s="2148"/>
      <c r="K57" s="1281"/>
      <c r="L57" s="1282"/>
      <c r="P57" s="2150"/>
      <c r="Q57" s="2150"/>
      <c r="R57" s="280"/>
      <c r="S57" s="1200"/>
      <c r="T57" s="204" t="s">
        <v>437</v>
      </c>
      <c r="U57" s="294"/>
      <c r="V57" s="294"/>
      <c r="W57" s="294"/>
      <c r="X57" s="294"/>
      <c r="Y57" s="294"/>
      <c r="Z57" s="294"/>
      <c r="AA57" s="294"/>
      <c r="AB57" s="294"/>
      <c r="AC57" s="248"/>
      <c r="AD57" s="1417"/>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48"/>
      <c r="BC57" s="2171"/>
      <c r="BE57" s="425"/>
      <c r="BF57" s="425" t="str">
        <f t="shared" si="4"/>
        <v>Добавить строку</v>
      </c>
      <c r="BG57" s="425"/>
      <c r="BH57" s="425"/>
    </row>
    <row r="58" spans="1:60" s="1811" customFormat="1" ht="0" hidden="1" customHeight="1">
      <c r="A58" s="1262" t="s">
        <v>244</v>
      </c>
      <c r="B58" s="1262" t="s">
        <v>245</v>
      </c>
      <c r="C58" s="1262" t="s">
        <v>246</v>
      </c>
      <c r="D58" s="1262" t="s">
        <v>497</v>
      </c>
      <c r="E58" s="2147"/>
      <c r="F58" s="2147"/>
      <c r="G58" s="2147"/>
      <c r="H58" s="2147"/>
      <c r="I58" s="2148"/>
      <c r="J58" s="1262"/>
      <c r="K58" s="1262"/>
      <c r="L58" s="1265"/>
      <c r="M58" s="435"/>
      <c r="N58" s="435"/>
      <c r="O58" s="435"/>
      <c r="P58" s="2150"/>
      <c r="Q58" s="1393"/>
      <c r="R58" s="280"/>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25"/>
      <c r="BF58" s="425" t="str">
        <f t="shared" si="4"/>
        <v/>
      </c>
      <c r="BG58" s="425"/>
      <c r="BH58" s="425"/>
    </row>
    <row r="59" spans="1:60" s="1811" customFormat="1" ht="0" hidden="1" customHeight="1">
      <c r="A59" s="1262" t="s">
        <v>244</v>
      </c>
      <c r="B59" s="1262" t="s">
        <v>245</v>
      </c>
      <c r="C59" s="1262" t="s">
        <v>246</v>
      </c>
      <c r="D59" s="1262" t="s">
        <v>497</v>
      </c>
      <c r="E59" s="2147"/>
      <c r="F59" s="2147"/>
      <c r="G59" s="2147"/>
      <c r="H59" s="2146"/>
      <c r="I59" s="1262"/>
      <c r="J59" s="1262"/>
      <c r="K59" s="1262"/>
      <c r="L59" s="1265"/>
      <c r="M59" s="1235"/>
      <c r="N59" s="1235"/>
      <c r="O59" s="443"/>
      <c r="P59" s="312"/>
      <c r="Q59" s="1263"/>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25"/>
      <c r="BF59" s="425" t="str">
        <f t="shared" si="4"/>
        <v/>
      </c>
      <c r="BG59" s="425"/>
      <c r="BH59" s="425"/>
    </row>
    <row r="60" spans="1:60" s="1881" customFormat="1" ht="0" hidden="1" customHeight="1">
      <c r="A60" s="1262" t="s">
        <v>244</v>
      </c>
      <c r="B60" s="1262" t="s">
        <v>245</v>
      </c>
      <c r="C60" s="1262" t="s">
        <v>246</v>
      </c>
      <c r="D60" s="1234"/>
      <c r="E60" s="2147"/>
      <c r="F60" s="2147"/>
      <c r="G60" s="2146"/>
      <c r="H60" s="1234"/>
      <c r="I60" s="1234"/>
      <c r="J60" s="1234"/>
      <c r="K60" s="1234"/>
      <c r="L60" s="1406"/>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07"/>
      <c r="BF60" s="707" t="str">
        <f t="shared" si="4"/>
        <v/>
      </c>
      <c r="BG60" s="707"/>
      <c r="BH60" s="707"/>
    </row>
    <row r="61" spans="1:60" s="1881" customFormat="1" ht="0" hidden="1" customHeight="1">
      <c r="A61" s="1262" t="s">
        <v>244</v>
      </c>
      <c r="B61" s="1262" t="s">
        <v>245</v>
      </c>
      <c r="C61" s="1234"/>
      <c r="D61" s="1234"/>
      <c r="E61" s="2147"/>
      <c r="F61" s="2146"/>
      <c r="G61" s="1234"/>
      <c r="H61" s="1234"/>
      <c r="I61" s="1234"/>
      <c r="J61" s="1234"/>
      <c r="K61" s="1234"/>
      <c r="L61" s="1406"/>
      <c r="M61" s="1241"/>
      <c r="N61" s="1241"/>
      <c r="P61" s="1236"/>
      <c r="Q61" s="1237"/>
      <c r="R61" s="1236"/>
      <c r="S61" s="1242"/>
      <c r="T61" s="1245" t="s">
        <v>385</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07"/>
      <c r="BF61" s="707" t="str">
        <f t="shared" si="4"/>
        <v>Добавить централизованную систему для дифференциации</v>
      </c>
      <c r="BG61" s="707"/>
      <c r="BH61" s="707"/>
    </row>
    <row r="62" spans="1:60" s="1811" customFormat="1" ht="0" hidden="1" customHeight="1">
      <c r="A62" s="1262" t="s">
        <v>244</v>
      </c>
      <c r="B62" s="1262"/>
      <c r="C62" s="1262"/>
      <c r="D62" s="1262"/>
      <c r="E62" s="2146"/>
      <c r="F62" s="1262"/>
      <c r="G62" s="1262"/>
      <c r="H62" s="1262"/>
      <c r="I62" s="1262"/>
      <c r="J62" s="1262"/>
      <c r="K62" s="1262"/>
      <c r="L62" s="1265"/>
      <c r="M62" s="1241"/>
      <c r="N62" s="1241"/>
      <c r="O62" s="443"/>
      <c r="P62" s="312"/>
      <c r="Q62" s="1263"/>
      <c r="R62" s="312"/>
      <c r="S62" s="1242"/>
      <c r="T62" s="1245" t="s">
        <v>386</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25"/>
      <c r="BF62" s="425" t="str">
        <f t="shared" si="4"/>
        <v>Добавить территорию для дифференциации</v>
      </c>
      <c r="BG62" s="425"/>
      <c r="BH62" s="425"/>
    </row>
    <row r="63" spans="1:60" s="1881" customFormat="1" ht="0" hidden="1" customHeight="1">
      <c r="A63" s="1234"/>
      <c r="B63" s="1234"/>
      <c r="C63" s="1234"/>
      <c r="D63" s="1234"/>
      <c r="E63" s="1262"/>
      <c r="F63" s="1234"/>
      <c r="G63" s="1234"/>
      <c r="H63" s="1234"/>
      <c r="I63" s="1234"/>
      <c r="J63" s="1234"/>
      <c r="K63" s="1234"/>
      <c r="L63" s="1406"/>
      <c r="M63" s="1241"/>
      <c r="N63" s="1241"/>
      <c r="P63" s="1236"/>
      <c r="Q63" s="1237"/>
      <c r="R63" s="1236"/>
      <c r="S63" s="1242"/>
      <c r="T63" s="1245" t="s">
        <v>418</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07"/>
      <c r="BF63" s="707" t="str">
        <f t="shared" si="4"/>
        <v>Добавить наименование тарифа</v>
      </c>
      <c r="BG63" s="707"/>
      <c r="BH63" s="707"/>
    </row>
    <row r="64" spans="1:60" ht="11.25" customHeight="1">
      <c r="M64" s="1062"/>
      <c r="N64" s="1062"/>
      <c r="O64" s="461"/>
      <c r="P64" s="1062"/>
      <c r="Q64" s="1062"/>
      <c r="R64" s="1057"/>
      <c r="S64" s="1057"/>
      <c r="BD64" s="1057"/>
      <c r="BE64" s="1057"/>
      <c r="BF64" s="1057"/>
      <c r="BG64" s="1057"/>
      <c r="BH64" s="1057"/>
    </row>
    <row r="65" spans="15:55" ht="14.25" customHeight="1">
      <c r="O65" s="461"/>
      <c r="S65" s="1166"/>
      <c r="T65" s="2145"/>
      <c r="U65" s="2145"/>
      <c r="V65" s="2145"/>
      <c r="W65" s="2145"/>
      <c r="X65" s="2145"/>
      <c r="Y65" s="2145"/>
      <c r="Z65" s="2145"/>
      <c r="AA65" s="2145"/>
      <c r="AB65" s="2145"/>
      <c r="AC65" s="2145"/>
      <c r="AD65" s="2145"/>
      <c r="AE65" s="2145"/>
      <c r="AF65" s="2145"/>
      <c r="AG65" s="2145"/>
      <c r="AH65" s="2145"/>
      <c r="AI65" s="2145"/>
      <c r="AJ65" s="2145"/>
      <c r="AK65" s="2145"/>
      <c r="AL65" s="2145"/>
      <c r="AM65" s="2145"/>
      <c r="AN65" s="2145"/>
      <c r="AO65" s="2145"/>
      <c r="AP65" s="2145"/>
      <c r="AQ65" s="2145"/>
      <c r="AR65" s="2145"/>
      <c r="AS65" s="2145"/>
      <c r="AT65" s="2145"/>
      <c r="AU65" s="2145"/>
      <c r="AV65" s="2145"/>
      <c r="AW65" s="2145"/>
      <c r="AX65" s="2145"/>
      <c r="AY65" s="2145"/>
      <c r="AZ65" s="2145"/>
      <c r="BA65" s="2145"/>
      <c r="BB65" s="2145"/>
      <c r="BC65" s="2145"/>
    </row>
    <row r="66" spans="15:55" ht="14.25" customHeight="1">
      <c r="O66" s="461"/>
      <c r="T66" s="1392"/>
      <c r="U66" s="1392"/>
      <c r="V66" s="1392"/>
      <c r="W66" s="1392"/>
      <c r="X66" s="1392"/>
      <c r="Y66" s="1392"/>
      <c r="Z66" s="1392"/>
      <c r="AA66" s="1392"/>
      <c r="AB66" s="1392"/>
      <c r="AC66" s="1392"/>
      <c r="AD66" s="1392"/>
      <c r="AE66" s="1392"/>
      <c r="AF66" s="1392"/>
      <c r="AG66" s="1392"/>
      <c r="AH66" s="1392"/>
      <c r="AI66" s="1392"/>
      <c r="AJ66" s="1392"/>
      <c r="AK66" s="1392"/>
      <c r="AL66" s="1392"/>
      <c r="AM66" s="1392"/>
      <c r="AN66" s="1392"/>
      <c r="AO66" s="1392"/>
      <c r="AP66" s="1392"/>
      <c r="AQ66" s="1392"/>
      <c r="AR66" s="1392"/>
      <c r="AS66" s="1392"/>
      <c r="AT66" s="1392"/>
      <c r="AU66" s="1392"/>
      <c r="AV66" s="1392"/>
      <c r="AW66" s="1392"/>
      <c r="AX66" s="1392"/>
      <c r="AY66" s="1392"/>
      <c r="AZ66" s="1392"/>
      <c r="BA66" s="1392"/>
      <c r="BB66" s="1392"/>
      <c r="BC66" s="1392"/>
    </row>
    <row r="67" spans="15:55" ht="14.25" customHeight="1">
      <c r="O67" s="461"/>
      <c r="S67" s="1166"/>
      <c r="T67" s="2145"/>
      <c r="U67" s="2145"/>
      <c r="V67" s="2145"/>
      <c r="W67" s="2145"/>
      <c r="X67" s="2145"/>
      <c r="Y67" s="2145"/>
      <c r="Z67" s="2145"/>
      <c r="AA67" s="2145"/>
      <c r="AB67" s="2145"/>
      <c r="AC67" s="2145"/>
      <c r="AD67" s="2145"/>
      <c r="AE67" s="2145"/>
      <c r="AF67" s="2145"/>
      <c r="AG67" s="2145"/>
      <c r="AH67" s="2145"/>
      <c r="AI67" s="2145"/>
      <c r="AJ67" s="2145"/>
      <c r="AK67" s="2145"/>
      <c r="AL67" s="2145"/>
      <c r="AM67" s="2145"/>
      <c r="AN67" s="2145"/>
      <c r="AO67" s="2145"/>
      <c r="AP67" s="2145"/>
      <c r="AQ67" s="2145"/>
      <c r="AR67" s="2145"/>
      <c r="AS67" s="2145"/>
      <c r="AT67" s="2145"/>
      <c r="AU67" s="2145"/>
      <c r="AV67" s="2145"/>
      <c r="AW67" s="2145"/>
      <c r="AX67" s="2145"/>
      <c r="AY67" s="2145"/>
      <c r="AZ67" s="2145"/>
      <c r="BA67" s="2145"/>
      <c r="BB67" s="2145"/>
      <c r="BC67" s="2145"/>
    </row>
    <row r="68" spans="15:55" ht="14.25" customHeight="1">
      <c r="O68" s="461"/>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6">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40"/>
      <c r="W2" s="2141"/>
      <c r="X2" s="2141"/>
      <c r="Y2" s="2141"/>
      <c r="Z2" s="2141"/>
      <c r="AA2" s="2141"/>
      <c r="AB2" s="2142"/>
      <c r="AC2" s="2140" t="e">
        <f>INDEX(PT_DIFFERENTIATION_NTAR,MATCH(A2,PT_DIFFERENTIATION_NTAR_ID,0))</f>
        <v>#N/A</v>
      </c>
      <c r="AD2" s="2141"/>
      <c r="AE2" s="2141"/>
      <c r="AF2" s="2141"/>
      <c r="AG2" s="2141"/>
      <c r="AH2" s="2141"/>
      <c r="AI2" s="2141"/>
      <c r="AJ2" s="2142"/>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7"/>
      <c r="F3" s="2146">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40"/>
      <c r="W3" s="2141"/>
      <c r="X3" s="2141"/>
      <c r="Y3" s="2141"/>
      <c r="Z3" s="2141"/>
      <c r="AA3" s="2141"/>
      <c r="AB3" s="2142"/>
      <c r="AC3" s="2140" t="e">
        <f>INDEX(PT_DIFFERENTIATION_TER,MATCH(B3,PT_DIFFERENTIATION_TER_ID,0))</f>
        <v>#N/A</v>
      </c>
      <c r="AD3" s="2141"/>
      <c r="AE3" s="2141"/>
      <c r="AF3" s="2141"/>
      <c r="AG3" s="2141"/>
      <c r="AH3" s="2141"/>
      <c r="AI3" s="2141"/>
      <c r="AJ3" s="2142"/>
      <c r="AK3" s="1179" t="s">
        <v>368</v>
      </c>
      <c r="AM3" s="425"/>
      <c r="AN3" s="425" t="str">
        <f t="shared" si="0"/>
        <v>Территория действия тарифа</v>
      </c>
      <c r="AO3" s="425"/>
      <c r="AP3" s="425"/>
    </row>
    <row r="4" spans="1:42" ht="23.25" hidden="1" customHeight="1">
      <c r="A4" s="1281"/>
      <c r="B4" s="1281"/>
      <c r="C4" s="1281"/>
      <c r="D4" s="1281"/>
      <c r="E4" s="2147"/>
      <c r="F4" s="2147"/>
      <c r="G4" s="2146">
        <v>1</v>
      </c>
      <c r="H4" s="1281"/>
      <c r="I4" s="1281"/>
      <c r="J4" s="1281"/>
      <c r="K4" s="1281"/>
      <c r="L4" s="1282"/>
      <c r="M4" s="1283"/>
      <c r="N4" s="1283"/>
      <c r="O4" s="1283"/>
      <c r="P4" s="278"/>
      <c r="Q4" s="276"/>
      <c r="R4" s="277"/>
      <c r="S4" s="1405" t="e">
        <f>INDEX(PT_DIFFERENTIATION_NUM_CS,MATCH(C4,PT_DIFFERENTIATION_CS_ID,0))</f>
        <v>#N/A</v>
      </c>
      <c r="T4" s="228" t="s">
        <v>498</v>
      </c>
      <c r="U4" s="217"/>
      <c r="V4" s="2140"/>
      <c r="W4" s="2141"/>
      <c r="X4" s="2141"/>
      <c r="Y4" s="2141"/>
      <c r="Z4" s="2141"/>
      <c r="AA4" s="2141"/>
      <c r="AB4" s="2142"/>
      <c r="AC4" s="2140" t="e">
        <f>INDEX(PT_DIFFERENTIATION_CS,MATCH(C4,PT_DIFFERENTIATION_CS_ID,0))</f>
        <v>#N/A</v>
      </c>
      <c r="AD4" s="2141"/>
      <c r="AE4" s="2141"/>
      <c r="AF4" s="2141"/>
      <c r="AG4" s="2141"/>
      <c r="AH4" s="2141"/>
      <c r="AI4" s="2141"/>
      <c r="AJ4" s="2142"/>
      <c r="AK4" s="1179" t="s">
        <v>499</v>
      </c>
      <c r="AM4" s="425"/>
      <c r="AN4" s="425" t="str">
        <f t="shared" si="0"/>
        <v>Наименование централизованной системы горячего водоснабжения</v>
      </c>
      <c r="AO4" s="425"/>
      <c r="AP4" s="425"/>
    </row>
    <row r="5" spans="1:42" ht="23.25" hidden="1" customHeight="1">
      <c r="A5" s="1281"/>
      <c r="B5" s="1281"/>
      <c r="C5" s="1281"/>
      <c r="D5" s="1281"/>
      <c r="E5" s="2147"/>
      <c r="F5" s="2147"/>
      <c r="G5" s="2147"/>
      <c r="H5" s="2147"/>
      <c r="I5" s="2148" t="e">
        <f>S4&amp;".1"</f>
        <v>#N/A</v>
      </c>
      <c r="J5" s="1281"/>
      <c r="K5" s="1281"/>
      <c r="L5" s="1282"/>
      <c r="P5" s="2150">
        <v>1</v>
      </c>
      <c r="Q5" s="1393"/>
      <c r="R5" s="280"/>
      <c r="S5" s="1405"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7"/>
      <c r="F6" s="2147"/>
      <c r="G6" s="2147"/>
      <c r="H6" s="2147"/>
      <c r="I6" s="2149"/>
      <c r="J6" s="2148" t="e">
        <f>I5&amp;".1"</f>
        <v>#N/A</v>
      </c>
      <c r="K6" s="1281"/>
      <c r="L6" s="1282" t="s">
        <v>376</v>
      </c>
      <c r="P6" s="2150"/>
      <c r="Q6" s="2150">
        <v>1</v>
      </c>
      <c r="R6" s="281"/>
      <c r="S6" s="1405" t="e">
        <f>$J6</f>
        <v>#N/A</v>
      </c>
      <c r="T6" s="203" t="s">
        <v>377</v>
      </c>
      <c r="U6" s="217"/>
      <c r="V6" s="2134"/>
      <c r="W6" s="2135"/>
      <c r="X6" s="2135"/>
      <c r="Y6" s="2135"/>
      <c r="Z6" s="2135"/>
      <c r="AA6" s="2135"/>
      <c r="AB6" s="2136"/>
      <c r="AC6" s="2134"/>
      <c r="AD6" s="2135"/>
      <c r="AE6" s="2135"/>
      <c r="AF6" s="2135"/>
      <c r="AG6" s="2135"/>
      <c r="AH6" s="2135"/>
      <c r="AI6" s="2135"/>
      <c r="AJ6" s="2136"/>
      <c r="AK6" s="1228" t="s">
        <v>455</v>
      </c>
      <c r="AM6" s="425"/>
      <c r="AN6" s="425" t="str">
        <f t="shared" si="0"/>
        <v>Группа потребителей</v>
      </c>
      <c r="AO6" s="425"/>
      <c r="AP6" s="425"/>
    </row>
    <row r="7" spans="1:42" ht="23.25" hidden="1" customHeight="1">
      <c r="A7" s="1281"/>
      <c r="B7" s="1281"/>
      <c r="C7" s="1281"/>
      <c r="D7" s="1281"/>
      <c r="E7" s="2147"/>
      <c r="F7" s="2147"/>
      <c r="G7" s="2147"/>
      <c r="H7" s="2147"/>
      <c r="I7" s="2149"/>
      <c r="J7" s="2149"/>
      <c r="K7" s="2148" t="e">
        <f>J6&amp;".1"</f>
        <v>#N/A</v>
      </c>
      <c r="L7" s="1282"/>
      <c r="P7" s="2150"/>
      <c r="Q7" s="2150"/>
      <c r="R7" s="281">
        <v>1</v>
      </c>
      <c r="S7" s="1405" t="e">
        <f>$K7</f>
        <v>#N/A</v>
      </c>
      <c r="T7" s="1354"/>
      <c r="U7" s="217"/>
      <c r="V7" s="668"/>
      <c r="W7" s="668"/>
      <c r="X7" s="1178"/>
      <c r="Y7" s="2151"/>
      <c r="Z7" s="2029" t="s">
        <v>50</v>
      </c>
      <c r="AA7" s="2151"/>
      <c r="AB7" s="2029" t="s">
        <v>50</v>
      </c>
      <c r="AC7" s="668"/>
      <c r="AD7" s="668"/>
      <c r="AE7" s="1178"/>
      <c r="AF7" s="2151"/>
      <c r="AG7" s="2029" t="s">
        <v>50</v>
      </c>
      <c r="AH7" s="2153"/>
      <c r="AI7" s="2029" t="s">
        <v>50</v>
      </c>
      <c r="AJ7" s="1355"/>
      <c r="AK7"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7"/>
      <c r="F8" s="2147"/>
      <c r="G8" s="2147"/>
      <c r="H8" s="2147"/>
      <c r="I8" s="2149"/>
      <c r="J8" s="2149"/>
      <c r="K8" s="2148"/>
      <c r="L8" s="1282"/>
      <c r="P8" s="2150"/>
      <c r="Q8" s="2150"/>
      <c r="R8" s="281"/>
      <c r="S8" s="1402"/>
      <c r="T8" s="217"/>
      <c r="U8" s="217"/>
      <c r="V8" s="249"/>
      <c r="W8" s="249"/>
      <c r="X8" s="253" t="str">
        <f>Y7&amp;"-"&amp;AA7</f>
        <v>-</v>
      </c>
      <c r="Y8" s="2152"/>
      <c r="Z8" s="2029"/>
      <c r="AA8" s="2152"/>
      <c r="AB8" s="2029"/>
      <c r="AC8" s="249"/>
      <c r="AD8" s="249"/>
      <c r="AE8" s="253" t="str">
        <f>AF7&amp;"-"&amp;AH7</f>
        <v>-</v>
      </c>
      <c r="AF8" s="2152"/>
      <c r="AG8" s="2029"/>
      <c r="AH8" s="2154"/>
      <c r="AI8" s="2029"/>
      <c r="AJ8" s="1356"/>
      <c r="AK8" s="2212"/>
      <c r="AM8" s="425"/>
      <c r="AN8" s="425" t="str">
        <f t="shared" si="0"/>
        <v/>
      </c>
      <c r="AO8" s="425"/>
      <c r="AP8" s="425"/>
    </row>
    <row r="9" spans="1:42" ht="21" hidden="1" customHeight="1">
      <c r="A9" s="1281"/>
      <c r="B9" s="1281"/>
      <c r="C9" s="1281"/>
      <c r="D9" s="1281"/>
      <c r="E9" s="2147"/>
      <c r="F9" s="2147"/>
      <c r="G9" s="2147"/>
      <c r="H9" s="2147"/>
      <c r="I9" s="2149"/>
      <c r="J9" s="2148"/>
      <c r="K9" s="1281"/>
      <c r="L9" s="1282"/>
      <c r="P9" s="2150"/>
      <c r="Q9" s="2150"/>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7"/>
      <c r="F10" s="2147"/>
      <c r="G10" s="2147"/>
      <c r="H10" s="2147"/>
      <c r="I10" s="2148"/>
      <c r="J10" s="1281"/>
      <c r="K10" s="1281"/>
      <c r="L10" s="1282"/>
      <c r="P10" s="2150"/>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7"/>
      <c r="F11" s="2147"/>
      <c r="G11" s="2147"/>
      <c r="H11" s="2146"/>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7"/>
      <c r="F12" s="2146"/>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6"/>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4"/>
      <c r="AG15" s="2143" t="s">
        <v>50</v>
      </c>
      <c r="AH15" s="2144"/>
      <c r="AI15" s="2143" t="s">
        <v>50</v>
      </c>
    </row>
    <row r="16" spans="1:42" ht="14.25" hidden="1" customHeight="1">
      <c r="AC16" s="1278"/>
      <c r="AD16" s="1278"/>
      <c r="AE16" s="253" t="str">
        <f>AF15&amp;"-"&amp;AH15</f>
        <v>-</v>
      </c>
      <c r="AF16" s="2143"/>
      <c r="AG16" s="2143"/>
      <c r="AH16" s="2143"/>
      <c r="AI16" s="2143"/>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29.25" customHeight="1">
      <c r="Q24" s="304"/>
      <c r="R24" s="304"/>
      <c r="S24" s="212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27"/>
      <c r="U24" s="2127"/>
      <c r="V24" s="2127"/>
      <c r="W24" s="2127"/>
      <c r="X24" s="2127"/>
      <c r="Y24" s="2127"/>
      <c r="Z24" s="2127"/>
      <c r="AA24" s="2127"/>
      <c r="AB24" s="2127"/>
      <c r="AC24" s="2127"/>
      <c r="AD24" s="2127"/>
      <c r="AE24" s="2127"/>
      <c r="AF24" s="2127"/>
      <c r="AG24" s="2127"/>
      <c r="AH24" s="2127"/>
      <c r="AI24" s="1154"/>
    </row>
    <row r="25" spans="1:42" ht="14.25" customHeight="1">
      <c r="Q25" s="304"/>
      <c r="R25" s="304"/>
      <c r="S25" s="2098" t="str">
        <f>IF(org=0,"Не определено",org)</f>
        <v>ООО "Горводоканал"</v>
      </c>
      <c r="T25" s="2098"/>
      <c r="U25" s="2098"/>
      <c r="V25" s="2098"/>
      <c r="W25" s="2098"/>
      <c r="X25" s="2098"/>
      <c r="Y25" s="2098"/>
      <c r="Z25" s="2098"/>
      <c r="AA25" s="2098"/>
      <c r="AB25" s="2098"/>
      <c r="AC25" s="2098"/>
      <c r="AD25" s="2098"/>
      <c r="AE25" s="2098"/>
      <c r="AF25" s="2098"/>
      <c r="AG25" s="2098"/>
      <c r="AH25" s="2098"/>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7" t="s">
        <v>37</v>
      </c>
      <c r="T27" s="2137"/>
      <c r="U27" s="1290"/>
      <c r="V27" s="2139" t="str">
        <f>IF(TITLE_NAME_OR_PR_CHANGE="",IF(TITLE_NAME_OR_PR="","",TITLE_NAME_OR_PR),TITLE_NAME_OR_PR_CHANGE)</f>
        <v/>
      </c>
      <c r="W27" s="2139"/>
      <c r="X27" s="2139"/>
      <c r="Y27" s="2139"/>
      <c r="Z27" s="2139"/>
      <c r="AA27" s="2139"/>
      <c r="AB27" s="251"/>
      <c r="AC27" s="2139" t="str">
        <f>IF(TITLE_NAME_OR_PR_CHANGE="",IF(TITLE_NAME_OR_PR="","",TITLE_NAME_OR_PR),TITLE_NAME_OR_PR_CHANGE)</f>
        <v/>
      </c>
      <c r="AD27" s="2139"/>
      <c r="AE27" s="2139"/>
      <c r="AF27" s="2139"/>
      <c r="AG27" s="2139"/>
      <c r="AH27" s="2139"/>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7" t="s">
        <v>393</v>
      </c>
      <c r="T28" s="2137"/>
      <c r="U28" s="1290"/>
      <c r="V28" s="2138" t="str">
        <f>IF(TITLE_DATE_PR_CHANGE="",IF(TITLE_DATE_PR="","",TITLE_DATE_PR),TITLE_DATE_PR_CHANGE)</f>
        <v/>
      </c>
      <c r="W28" s="2138"/>
      <c r="X28" s="2138"/>
      <c r="Y28" s="2138"/>
      <c r="Z28" s="2138"/>
      <c r="AA28" s="2138"/>
      <c r="AB28" s="251"/>
      <c r="AC28" s="2138" t="str">
        <f>IF(TITLE_DATE_PR_CHANGE="",IF(TITLE_DATE_PR="","",TITLE_DATE_PR),TITLE_DATE_PR_CHANGE)</f>
        <v/>
      </c>
      <c r="AD28" s="2138"/>
      <c r="AE28" s="2138"/>
      <c r="AF28" s="2138"/>
      <c r="AG28" s="2138"/>
      <c r="AH28" s="2138"/>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7" t="s">
        <v>394</v>
      </c>
      <c r="T29" s="2137"/>
      <c r="U29" s="1290"/>
      <c r="V29" s="2139" t="str">
        <f>IF(TITLE_NUMBER_PR_CHANGE="",IF(TITLE_NUMBER_PR="","",TITLE_NUMBER_PR),TITLE_NUMBER_PR_CHANGE)</f>
        <v/>
      </c>
      <c r="W29" s="2139"/>
      <c r="X29" s="2139"/>
      <c r="Y29" s="2139"/>
      <c r="Z29" s="2139"/>
      <c r="AA29" s="2139"/>
      <c r="AB29" s="251"/>
      <c r="AC29" s="2139" t="str">
        <f>IF(TITLE_NUMBER_PR_CHANGE="",IF(TITLE_NUMBER_PR="","",TITLE_NUMBER_PR),TITLE_NUMBER_PR_CHANGE)</f>
        <v/>
      </c>
      <c r="AD29" s="2139"/>
      <c r="AE29" s="2139"/>
      <c r="AF29" s="2139"/>
      <c r="AG29" s="2139"/>
      <c r="AH29" s="2139"/>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7" t="s">
        <v>38</v>
      </c>
      <c r="T30" s="2137"/>
      <c r="U30" s="1290"/>
      <c r="V30" s="2139" t="str">
        <f>IF(TITLE_IST_PUB_CHANGE="",IF(TITLE_IST_PUB="","",TITLE_IST_PUB),TITLE_IST_PUB_CHANGE)</f>
        <v/>
      </c>
      <c r="W30" s="2139"/>
      <c r="X30" s="2139"/>
      <c r="Y30" s="2139"/>
      <c r="Z30" s="2139"/>
      <c r="AA30" s="2139"/>
      <c r="AB30" s="251"/>
      <c r="AC30" s="2139" t="str">
        <f>IF(TITLE_IST_PUB_CHANGE="",IF(TITLE_IST_PUB="","",TITLE_IST_PUB),TITLE_IST_PUB_CHANGE)</f>
        <v/>
      </c>
      <c r="AD30" s="2139"/>
      <c r="AE30" s="2139"/>
      <c r="AF30" s="2139"/>
      <c r="AG30" s="2139"/>
      <c r="AH30" s="2139"/>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7" t="s">
        <v>395</v>
      </c>
      <c r="T32" s="2137"/>
      <c r="U32" s="1290"/>
      <c r="V32" s="2138" t="str">
        <f>IF(TITLE_DATE_PR_CHANGE="",IF(TITLE_DATE_PR="","",TITLE_DATE_PR),TITLE_DATE_PR_CHANGE)</f>
        <v/>
      </c>
      <c r="W32" s="2138"/>
      <c r="X32" s="2138"/>
      <c r="Y32" s="2138"/>
      <c r="Z32" s="2138"/>
      <c r="AA32" s="2138"/>
      <c r="AB32" s="251"/>
      <c r="AC32" s="2138" t="str">
        <f>IF(TITLE_DATE_PR_CHANGE="",IF(TITLE_DATE_PR="","",TITLE_DATE_PR),TITLE_DATE_PR_CHANGE)</f>
        <v/>
      </c>
      <c r="AD32" s="2138"/>
      <c r="AE32" s="2138"/>
      <c r="AF32" s="2138"/>
      <c r="AG32" s="2138"/>
      <c r="AH32" s="2138"/>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7" t="s">
        <v>396</v>
      </c>
      <c r="T33" s="2137"/>
      <c r="U33" s="1290"/>
      <c r="V33" s="2139" t="str">
        <f>IF(TITLE_NUMBER_PR_CHANGE="",IF(TITLE_NUMBER_PR="","",TITLE_NUMBER_PR),TITLE_NUMBER_PR_CHANGE)</f>
        <v/>
      </c>
      <c r="W33" s="2139"/>
      <c r="X33" s="2139"/>
      <c r="Y33" s="2139"/>
      <c r="Z33" s="2139"/>
      <c r="AA33" s="2139"/>
      <c r="AB33" s="251"/>
      <c r="AC33" s="2139" t="str">
        <f>IF(TITLE_NUMBER_PR_CHANGE="",IF(TITLE_NUMBER_PR="","",TITLE_NUMBER_PR),TITLE_NUMBER_PR_CHANGE)</f>
        <v/>
      </c>
      <c r="AD33" s="2139"/>
      <c r="AE33" s="2139"/>
      <c r="AF33" s="2139"/>
      <c r="AG33" s="2139"/>
      <c r="AH33" s="2139"/>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8"/>
      <c r="W35" s="2158"/>
      <c r="X35" s="2158"/>
      <c r="Y35" s="2158"/>
      <c r="Z35" s="2158"/>
      <c r="AA35" s="2158"/>
      <c r="AB35" s="2158"/>
      <c r="AC35" s="2158"/>
      <c r="AD35" s="2158"/>
      <c r="AE35" s="2158"/>
      <c r="AF35" s="2158"/>
      <c r="AG35" s="2158"/>
      <c r="AH35" s="2158"/>
      <c r="AI35" s="2158"/>
    </row>
    <row r="36" spans="1:42" ht="14.25" customHeight="1">
      <c r="Q36" s="304"/>
      <c r="R36" s="304"/>
      <c r="S36" s="2019" t="s">
        <v>268</v>
      </c>
      <c r="T36" s="2019"/>
      <c r="U36" s="2019"/>
      <c r="V36" s="2019"/>
      <c r="W36" s="2019"/>
      <c r="X36" s="2019"/>
      <c r="Y36" s="2019"/>
      <c r="Z36" s="2019"/>
      <c r="AA36" s="2019"/>
      <c r="AB36" s="2019"/>
      <c r="AC36" s="2019"/>
      <c r="AD36" s="2019"/>
      <c r="AE36" s="2019"/>
      <c r="AF36" s="2019"/>
      <c r="AG36" s="2019"/>
      <c r="AH36" s="2019"/>
      <c r="AI36" s="2019"/>
      <c r="AJ36" s="2019"/>
      <c r="AK36" s="2019" t="s">
        <v>269</v>
      </c>
    </row>
    <row r="37" spans="1:42" ht="14.25" customHeight="1">
      <c r="Q37" s="304"/>
      <c r="R37" s="304"/>
      <c r="S37" s="2159" t="s">
        <v>73</v>
      </c>
      <c r="T37" s="2107" t="s">
        <v>398</v>
      </c>
      <c r="U37" s="218"/>
      <c r="V37" s="2160" t="s">
        <v>399</v>
      </c>
      <c r="W37" s="2161"/>
      <c r="X37" s="2161"/>
      <c r="Y37" s="2161"/>
      <c r="Z37" s="2161"/>
      <c r="AA37" s="2162"/>
      <c r="AB37" s="2163" t="s">
        <v>400</v>
      </c>
      <c r="AC37" s="2160" t="s">
        <v>399</v>
      </c>
      <c r="AD37" s="2161"/>
      <c r="AE37" s="2161"/>
      <c r="AF37" s="2161"/>
      <c r="AG37" s="2161"/>
      <c r="AH37" s="2162"/>
      <c r="AI37" s="2163" t="s">
        <v>401</v>
      </c>
      <c r="AJ37" s="2166" t="s">
        <v>402</v>
      </c>
      <c r="AK37" s="2019"/>
    </row>
    <row r="38" spans="1:42" ht="33.75" customHeight="1">
      <c r="Q38" s="304"/>
      <c r="R38" s="304"/>
      <c r="S38" s="2159"/>
      <c r="T38" s="2107"/>
      <c r="U38" s="940"/>
      <c r="V38" s="1395" t="s">
        <v>500</v>
      </c>
      <c r="W38" s="2001" t="s">
        <v>501</v>
      </c>
      <c r="X38" s="2000"/>
      <c r="Y38" s="2001" t="s">
        <v>406</v>
      </c>
      <c r="Z38" s="2006"/>
      <c r="AA38" s="2000"/>
      <c r="AB38" s="2164"/>
      <c r="AC38" s="1395" t="s">
        <v>500</v>
      </c>
      <c r="AD38" s="2001" t="s">
        <v>501</v>
      </c>
      <c r="AE38" s="2000"/>
      <c r="AF38" s="2001" t="s">
        <v>406</v>
      </c>
      <c r="AG38" s="2006"/>
      <c r="AH38" s="2000"/>
      <c r="AI38" s="2164"/>
      <c r="AJ38" s="2167"/>
      <c r="AK38" s="2019"/>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9"/>
      <c r="T39" s="2107"/>
      <c r="U39" s="219"/>
      <c r="V39" s="1395" t="s">
        <v>502</v>
      </c>
      <c r="W39" s="1130" t="s">
        <v>503</v>
      </c>
      <c r="X39" s="1130" t="s">
        <v>504</v>
      </c>
      <c r="Y39" s="1401" t="s">
        <v>416</v>
      </c>
      <c r="Z39" s="2112" t="s">
        <v>417</v>
      </c>
      <c r="AA39" s="2126"/>
      <c r="AB39" s="2165"/>
      <c r="AC39" s="1395" t="s">
        <v>502</v>
      </c>
      <c r="AD39" s="1130" t="s">
        <v>503</v>
      </c>
      <c r="AE39" s="1130" t="s">
        <v>504</v>
      </c>
      <c r="AF39" s="1401" t="s">
        <v>416</v>
      </c>
      <c r="AG39" s="2112" t="s">
        <v>417</v>
      </c>
      <c r="AH39" s="2126"/>
      <c r="AI39" s="2165"/>
      <c r="AJ39" s="2168"/>
      <c r="AK39" s="2019"/>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7">
        <f ca="1">OFFSET(Z40,0,-1)+1</f>
        <v>7</v>
      </c>
      <c r="AA40" s="2157"/>
      <c r="AB40" s="1394">
        <f ca="1">OFFSET(AB40,0,-2)+1</f>
        <v>8</v>
      </c>
      <c r="AC40" s="1394">
        <f ca="1">OFFSET(AC40,0,-1)+1</f>
        <v>9</v>
      </c>
      <c r="AD40" s="1394">
        <f ca="1">OFFSET(AD40,0,-1)+1</f>
        <v>10</v>
      </c>
      <c r="AE40" s="1394">
        <f ca="1">OFFSET(AE40,0,-1)+1</f>
        <v>11</v>
      </c>
      <c r="AF40" s="1394">
        <f ca="1">OFFSET(AF40,0,-1)+1</f>
        <v>12</v>
      </c>
      <c r="AG40" s="2157">
        <f ca="1">OFFSET(AG40,0,-1)+1</f>
        <v>13</v>
      </c>
      <c r="AH40" s="2157"/>
      <c r="AI40" s="1394">
        <f ca="1">OFFSET(AI40,0,-2)+1</f>
        <v>14</v>
      </c>
      <c r="AJ40" s="1156">
        <f ca="1">OFFSET(AJ40,0,-1)</f>
        <v>14</v>
      </c>
      <c r="AK40" s="1394">
        <f ca="1">OFFSET(AK40,0,-1)+1</f>
        <v>15</v>
      </c>
      <c r="AL40" s="436"/>
      <c r="AM40" s="436"/>
      <c r="AN40" s="436"/>
      <c r="AO40" s="436"/>
      <c r="AP40" s="436"/>
    </row>
    <row r="41" spans="1:42" ht="23.25" customHeight="1">
      <c r="A41" s="1281" t="s">
        <v>219</v>
      </c>
      <c r="B41" s="1281"/>
      <c r="C41" s="1281"/>
      <c r="D41" s="1281"/>
      <c r="E41" s="2146">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40"/>
      <c r="W41" s="2141"/>
      <c r="X41" s="2141"/>
      <c r="Y41" s="2141"/>
      <c r="Z41" s="2141"/>
      <c r="AA41" s="2141"/>
      <c r="AB41" s="2142"/>
      <c r="AC41" s="2140" t="str">
        <f>INDEX(PT_DIFFERENTIATION_NTAR,MATCH(A41,PT_DIFFERENTIATION_NTAR_ID,0))</f>
        <v/>
      </c>
      <c r="AD41" s="2141"/>
      <c r="AE41" s="2141"/>
      <c r="AF41" s="2141"/>
      <c r="AG41" s="2141"/>
      <c r="AH41" s="2141"/>
      <c r="AI41" s="2141"/>
      <c r="AJ41" s="2142"/>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219</v>
      </c>
      <c r="B42" s="1281" t="s">
        <v>220</v>
      </c>
      <c r="C42" s="1281"/>
      <c r="D42" s="1281"/>
      <c r="E42" s="2147"/>
      <c r="F42" s="2146">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40"/>
      <c r="W42" s="2141"/>
      <c r="X42" s="2141"/>
      <c r="Y42" s="2141"/>
      <c r="Z42" s="2141"/>
      <c r="AA42" s="2141"/>
      <c r="AB42" s="2142"/>
      <c r="AC42" s="2140" t="str">
        <f>INDEX(PT_DIFFERENTIATION_TER,MATCH(B42,PT_DIFFERENTIATION_TER_ID,0))</f>
        <v/>
      </c>
      <c r="AD42" s="2141"/>
      <c r="AE42" s="2141"/>
      <c r="AF42" s="2141"/>
      <c r="AG42" s="2141"/>
      <c r="AH42" s="2141"/>
      <c r="AI42" s="2141"/>
      <c r="AJ42" s="2142"/>
      <c r="AK42" s="1179" t="s">
        <v>368</v>
      </c>
      <c r="AM42" s="425"/>
      <c r="AN42" s="425" t="str">
        <f t="shared" si="1"/>
        <v>Территория действия тарифа</v>
      </c>
      <c r="AO42" s="425"/>
      <c r="AP42" s="425"/>
    </row>
    <row r="43" spans="1:42" ht="23.25" customHeight="1">
      <c r="A43" s="1281" t="s">
        <v>219</v>
      </c>
      <c r="B43" s="1281" t="s">
        <v>220</v>
      </c>
      <c r="C43" s="1281" t="s">
        <v>221</v>
      </c>
      <c r="D43" s="1281"/>
      <c r="E43" s="2147"/>
      <c r="F43" s="2147"/>
      <c r="G43" s="2146">
        <v>1</v>
      </c>
      <c r="H43" s="1281"/>
      <c r="I43" s="1281"/>
      <c r="J43" s="1281"/>
      <c r="K43" s="1281"/>
      <c r="L43" s="1282"/>
      <c r="M43" s="1283"/>
      <c r="N43" s="1283"/>
      <c r="O43" s="1283"/>
      <c r="P43" s="278"/>
      <c r="Q43" s="276"/>
      <c r="R43" s="277"/>
      <c r="S43" s="1405" t="str">
        <f>INDEX(PT_DIFFERENTIATION_NUM_CS,MATCH(C43,PT_DIFFERENTIATION_CS_ID,0))</f>
        <v>..</v>
      </c>
      <c r="T43" s="228" t="s">
        <v>498</v>
      </c>
      <c r="U43" s="217"/>
      <c r="V43" s="2140"/>
      <c r="W43" s="2141"/>
      <c r="X43" s="2141"/>
      <c r="Y43" s="2141"/>
      <c r="Z43" s="2141"/>
      <c r="AA43" s="2141"/>
      <c r="AB43" s="2142"/>
      <c r="AC43" s="2140" t="str">
        <f>INDEX(PT_DIFFERENTIATION_CS,MATCH(C43,PT_DIFFERENTIATION_CS_ID,0))</f>
        <v/>
      </c>
      <c r="AD43" s="2141"/>
      <c r="AE43" s="2141"/>
      <c r="AF43" s="2141"/>
      <c r="AG43" s="2141"/>
      <c r="AH43" s="2141"/>
      <c r="AI43" s="2141"/>
      <c r="AJ43" s="2142"/>
      <c r="AK43" s="1179" t="s">
        <v>499</v>
      </c>
      <c r="AM43" s="425"/>
      <c r="AN43" s="425" t="str">
        <f t="shared" si="1"/>
        <v>Наименование централизованной системы горячего водоснабжения</v>
      </c>
      <c r="AO43" s="425"/>
      <c r="AP43" s="425"/>
    </row>
    <row r="44" spans="1:42" ht="23.25" customHeight="1">
      <c r="A44" s="1281" t="s">
        <v>219</v>
      </c>
      <c r="B44" s="1281" t="s">
        <v>220</v>
      </c>
      <c r="C44" s="1281" t="s">
        <v>221</v>
      </c>
      <c r="D44" s="1281" t="s">
        <v>505</v>
      </c>
      <c r="E44" s="2147"/>
      <c r="F44" s="2147"/>
      <c r="G44" s="2147"/>
      <c r="H44" s="2147"/>
      <c r="I44" s="2148" t="str">
        <f>S43&amp;".1"</f>
        <v>...1</v>
      </c>
      <c r="J44" s="1281"/>
      <c r="K44" s="1281"/>
      <c r="L44" s="1282"/>
      <c r="P44" s="2150">
        <v>1</v>
      </c>
      <c r="Q44" s="1393"/>
      <c r="R44" s="280"/>
      <c r="S44" s="1405"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219</v>
      </c>
      <c r="B45" s="1281" t="s">
        <v>220</v>
      </c>
      <c r="C45" s="1281" t="s">
        <v>221</v>
      </c>
      <c r="D45" s="1281" t="s">
        <v>505</v>
      </c>
      <c r="E45" s="2147"/>
      <c r="F45" s="2147"/>
      <c r="G45" s="2147"/>
      <c r="H45" s="2147"/>
      <c r="I45" s="2149"/>
      <c r="J45" s="2148" t="str">
        <f>I44&amp;".1"</f>
        <v>...1.1</v>
      </c>
      <c r="K45" s="1281"/>
      <c r="L45" s="1282" t="s">
        <v>376</v>
      </c>
      <c r="P45" s="2150"/>
      <c r="Q45" s="2150">
        <v>1</v>
      </c>
      <c r="R45" s="281"/>
      <c r="S45" s="1405" t="str">
        <f>$J45</f>
        <v>...1.1</v>
      </c>
      <c r="T45" s="203" t="s">
        <v>377</v>
      </c>
      <c r="U45" s="217"/>
      <c r="V45" s="2134"/>
      <c r="W45" s="2135"/>
      <c r="X45" s="2135"/>
      <c r="Y45" s="2135"/>
      <c r="Z45" s="2135"/>
      <c r="AA45" s="2135"/>
      <c r="AB45" s="2136"/>
      <c r="AC45" s="2134"/>
      <c r="AD45" s="2135"/>
      <c r="AE45" s="2135"/>
      <c r="AF45" s="2135"/>
      <c r="AG45" s="2135"/>
      <c r="AH45" s="2135"/>
      <c r="AI45" s="2135"/>
      <c r="AJ45" s="2136"/>
      <c r="AK45" s="1228" t="s">
        <v>455</v>
      </c>
      <c r="AM45" s="425"/>
      <c r="AN45" s="425" t="str">
        <f t="shared" si="1"/>
        <v>Группа потребителей</v>
      </c>
      <c r="AO45" s="425"/>
      <c r="AP45" s="425"/>
    </row>
    <row r="46" spans="1:42" ht="23.25" customHeight="1">
      <c r="A46" s="1281" t="s">
        <v>219</v>
      </c>
      <c r="B46" s="1281" t="s">
        <v>220</v>
      </c>
      <c r="C46" s="1281" t="s">
        <v>221</v>
      </c>
      <c r="D46" s="1281" t="s">
        <v>505</v>
      </c>
      <c r="E46" s="2147"/>
      <c r="F46" s="2147"/>
      <c r="G46" s="2147"/>
      <c r="H46" s="2147"/>
      <c r="I46" s="2149"/>
      <c r="J46" s="2149"/>
      <c r="K46" s="2148" t="str">
        <f>J45&amp;".1"</f>
        <v>...1.1.1</v>
      </c>
      <c r="L46" s="1282"/>
      <c r="P46" s="2150"/>
      <c r="Q46" s="2150"/>
      <c r="R46" s="281">
        <v>1</v>
      </c>
      <c r="S46" s="1405" t="str">
        <f>$K46</f>
        <v>...1.1.1</v>
      </c>
      <c r="T46" s="1354"/>
      <c r="U46" s="217"/>
      <c r="V46" s="1278"/>
      <c r="W46" s="1278"/>
      <c r="X46" s="1279"/>
      <c r="Y46" s="2144"/>
      <c r="Z46" s="2143" t="s">
        <v>50</v>
      </c>
      <c r="AA46" s="2144"/>
      <c r="AB46" s="2143" t="s">
        <v>50</v>
      </c>
      <c r="AC46" s="668"/>
      <c r="AD46" s="668"/>
      <c r="AE46" s="1178"/>
      <c r="AF46" s="2151"/>
      <c r="AG46" s="2029" t="s">
        <v>50</v>
      </c>
      <c r="AH46" s="2153"/>
      <c r="AI46" s="2029" t="s">
        <v>48</v>
      </c>
      <c r="AJ46" s="1355"/>
      <c r="AK46"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219</v>
      </c>
      <c r="B47" s="1281" t="s">
        <v>220</v>
      </c>
      <c r="C47" s="1281" t="s">
        <v>221</v>
      </c>
      <c r="D47" s="1281" t="s">
        <v>505</v>
      </c>
      <c r="E47" s="2147"/>
      <c r="F47" s="2147"/>
      <c r="G47" s="2147"/>
      <c r="H47" s="2147"/>
      <c r="I47" s="2149"/>
      <c r="J47" s="2149"/>
      <c r="K47" s="2148"/>
      <c r="L47" s="1282"/>
      <c r="P47" s="2150"/>
      <c r="Q47" s="2150"/>
      <c r="R47" s="281"/>
      <c r="S47" s="1402"/>
      <c r="T47" s="217"/>
      <c r="U47" s="217"/>
      <c r="V47" s="1278"/>
      <c r="W47" s="1278"/>
      <c r="X47" s="253" t="str">
        <f>Y46&amp;"-"&amp;AA46</f>
        <v>-</v>
      </c>
      <c r="Y47" s="2143"/>
      <c r="Z47" s="2143"/>
      <c r="AA47" s="2143"/>
      <c r="AB47" s="2143"/>
      <c r="AC47" s="249"/>
      <c r="AD47" s="249"/>
      <c r="AE47" s="253" t="str">
        <f>AF46&amp;"-"&amp;AH46</f>
        <v>-</v>
      </c>
      <c r="AF47" s="2152"/>
      <c r="AG47" s="2029"/>
      <c r="AH47" s="2154"/>
      <c r="AI47" s="2029"/>
      <c r="AJ47" s="1356"/>
      <c r="AK47" s="2212"/>
      <c r="AM47" s="425"/>
      <c r="AN47" s="425" t="str">
        <f t="shared" si="1"/>
        <v/>
      </c>
      <c r="AO47" s="425"/>
      <c r="AP47" s="425"/>
    </row>
    <row r="48" spans="1:42" ht="21" customHeight="1">
      <c r="A48" s="1281" t="s">
        <v>219</v>
      </c>
      <c r="B48" s="1281" t="s">
        <v>220</v>
      </c>
      <c r="C48" s="1281" t="s">
        <v>221</v>
      </c>
      <c r="D48" s="1281" t="s">
        <v>505</v>
      </c>
      <c r="E48" s="2147"/>
      <c r="F48" s="2147"/>
      <c r="G48" s="2147"/>
      <c r="H48" s="2147"/>
      <c r="I48" s="2149"/>
      <c r="J48" s="2148"/>
      <c r="K48" s="1281"/>
      <c r="L48" s="1282"/>
      <c r="P48" s="2150"/>
      <c r="Q48" s="2150"/>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219</v>
      </c>
      <c r="B49" s="1281" t="s">
        <v>220</v>
      </c>
      <c r="C49" s="1281" t="s">
        <v>221</v>
      </c>
      <c r="D49" s="1281" t="s">
        <v>505</v>
      </c>
      <c r="E49" s="2147"/>
      <c r="F49" s="2147"/>
      <c r="G49" s="2147"/>
      <c r="H49" s="2147"/>
      <c r="I49" s="2148"/>
      <c r="J49" s="1281"/>
      <c r="K49" s="1281"/>
      <c r="L49" s="1282"/>
      <c r="P49" s="2150"/>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219</v>
      </c>
      <c r="B50" s="1281" t="s">
        <v>220</v>
      </c>
      <c r="C50" s="1281" t="s">
        <v>221</v>
      </c>
      <c r="D50" s="1281" t="s">
        <v>505</v>
      </c>
      <c r="E50" s="2147"/>
      <c r="F50" s="2147"/>
      <c r="G50" s="2147"/>
      <c r="H50" s="2146"/>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219</v>
      </c>
      <c r="B51" s="1262" t="s">
        <v>220</v>
      </c>
      <c r="C51" s="1234"/>
      <c r="D51" s="1234"/>
      <c r="E51" s="2147"/>
      <c r="F51" s="2146"/>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219</v>
      </c>
      <c r="B52" s="1262"/>
      <c r="C52" s="1262"/>
      <c r="D52" s="1262"/>
      <c r="E52" s="2146"/>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5"/>
      <c r="U55" s="2145"/>
      <c r="V55" s="2145"/>
      <c r="W55" s="2145"/>
      <c r="X55" s="2145"/>
      <c r="Y55" s="2145"/>
      <c r="Z55" s="2145"/>
      <c r="AA55" s="2145"/>
      <c r="AB55" s="2145"/>
      <c r="AC55" s="2145"/>
      <c r="AD55" s="2145"/>
      <c r="AE55" s="2145"/>
      <c r="AF55" s="2145"/>
      <c r="AG55" s="2145"/>
      <c r="AH55" s="2145"/>
      <c r="AI55" s="2145"/>
      <c r="AJ55" s="2145"/>
      <c r="AK55" s="2145"/>
    </row>
    <row r="56" spans="1:42" ht="14.25" customHeight="1">
      <c r="O56" s="461"/>
    </row>
    <row r="57" spans="1:42" ht="14.25" customHeight="1">
      <c r="O57" s="461"/>
      <c r="S57" s="1166"/>
      <c r="T57" s="2145"/>
      <c r="U57" s="2145"/>
      <c r="V57" s="2145"/>
      <c r="W57" s="2145"/>
      <c r="X57" s="2145"/>
      <c r="Y57" s="2145"/>
      <c r="Z57" s="2145"/>
      <c r="AA57" s="2145"/>
      <c r="AB57" s="2145"/>
      <c r="AC57" s="2145"/>
      <c r="AD57" s="2145"/>
      <c r="AE57" s="2145"/>
      <c r="AF57" s="2145"/>
      <c r="AG57" s="2145"/>
      <c r="AH57" s="2145"/>
      <c r="AI57" s="2145"/>
      <c r="AJ57" s="2145"/>
      <c r="AK57" s="2145"/>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6">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40"/>
      <c r="W2" s="2141"/>
      <c r="X2" s="2141"/>
      <c r="Y2" s="2141"/>
      <c r="Z2" s="2141"/>
      <c r="AA2" s="2141"/>
      <c r="AB2" s="2142"/>
      <c r="AC2" s="2140" t="e">
        <f>INDEX(PT_DIFFERENTIATION_NTAR,MATCH(A2,PT_DIFFERENTIATION_NTAR_ID,0))</f>
        <v>#N/A</v>
      </c>
      <c r="AD2" s="2141"/>
      <c r="AE2" s="2141"/>
      <c r="AF2" s="2141"/>
      <c r="AG2" s="2141"/>
      <c r="AH2" s="2141"/>
      <c r="AI2" s="2141"/>
      <c r="AJ2" s="2142"/>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7"/>
      <c r="F3" s="2146">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40"/>
      <c r="W3" s="2141"/>
      <c r="X3" s="2141"/>
      <c r="Y3" s="2141"/>
      <c r="Z3" s="2141"/>
      <c r="AA3" s="2141"/>
      <c r="AB3" s="2142"/>
      <c r="AC3" s="2140" t="e">
        <f>INDEX(PT_DIFFERENTIATION_TER,MATCH(B3,PT_DIFFERENTIATION_TER_ID,0))</f>
        <v>#N/A</v>
      </c>
      <c r="AD3" s="2141"/>
      <c r="AE3" s="2141"/>
      <c r="AF3" s="2141"/>
      <c r="AG3" s="2141"/>
      <c r="AH3" s="2141"/>
      <c r="AI3" s="2141"/>
      <c r="AJ3" s="2142"/>
      <c r="AK3" s="1179" t="s">
        <v>368</v>
      </c>
      <c r="AM3" s="425"/>
      <c r="AN3" s="425" t="str">
        <f t="shared" si="0"/>
        <v>Территория действия тарифа</v>
      </c>
      <c r="AO3" s="425"/>
      <c r="AP3" s="425"/>
    </row>
    <row r="4" spans="1:42" ht="23.25" hidden="1" customHeight="1">
      <c r="A4" s="1281"/>
      <c r="B4" s="1281"/>
      <c r="C4" s="1281"/>
      <c r="D4" s="1281"/>
      <c r="E4" s="2147"/>
      <c r="F4" s="2147"/>
      <c r="G4" s="2146">
        <v>1</v>
      </c>
      <c r="H4" s="1281"/>
      <c r="I4" s="1281"/>
      <c r="J4" s="1281"/>
      <c r="K4" s="1281"/>
      <c r="L4" s="1282"/>
      <c r="M4" s="1283"/>
      <c r="N4" s="1283"/>
      <c r="O4" s="1283"/>
      <c r="P4" s="278"/>
      <c r="Q4" s="276"/>
      <c r="R4" s="277"/>
      <c r="S4" s="1405" t="e">
        <f>INDEX(PT_DIFFERENTIATION_NUM_CS,MATCH(C4,PT_DIFFERENTIATION_CS_ID,0))</f>
        <v>#N/A</v>
      </c>
      <c r="T4" s="228" t="s">
        <v>498</v>
      </c>
      <c r="U4" s="217"/>
      <c r="V4" s="2140"/>
      <c r="W4" s="2141"/>
      <c r="X4" s="2141"/>
      <c r="Y4" s="2141"/>
      <c r="Z4" s="2141"/>
      <c r="AA4" s="2141"/>
      <c r="AB4" s="2142"/>
      <c r="AC4" s="2140" t="e">
        <f>INDEX(PT_DIFFERENTIATION_CS,MATCH(C4,PT_DIFFERENTIATION_CS_ID,0))</f>
        <v>#N/A</v>
      </c>
      <c r="AD4" s="2141"/>
      <c r="AE4" s="2141"/>
      <c r="AF4" s="2141"/>
      <c r="AG4" s="2141"/>
      <c r="AH4" s="2141"/>
      <c r="AI4" s="2141"/>
      <c r="AJ4" s="2142"/>
      <c r="AK4" s="1179" t="s">
        <v>499</v>
      </c>
      <c r="AM4" s="425"/>
      <c r="AN4" s="425" t="str">
        <f t="shared" si="0"/>
        <v>Наименование централизованной системы горячего водоснабжения</v>
      </c>
      <c r="AO4" s="425"/>
      <c r="AP4" s="425"/>
    </row>
    <row r="5" spans="1:42" ht="23.25" hidden="1" customHeight="1">
      <c r="A5" s="1281"/>
      <c r="B5" s="1281"/>
      <c r="C5" s="1281"/>
      <c r="D5" s="1281"/>
      <c r="E5" s="2147"/>
      <c r="F5" s="2147"/>
      <c r="G5" s="2147"/>
      <c r="H5" s="2147"/>
      <c r="I5" s="2148" t="e">
        <f>S4&amp;".1"</f>
        <v>#N/A</v>
      </c>
      <c r="J5" s="1281"/>
      <c r="K5" s="1281"/>
      <c r="L5" s="1282"/>
      <c r="P5" s="2150">
        <v>1</v>
      </c>
      <c r="Q5" s="1393"/>
      <c r="R5" s="280"/>
      <c r="S5" s="1405"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7"/>
      <c r="F6" s="2147"/>
      <c r="G6" s="2147"/>
      <c r="H6" s="2147"/>
      <c r="I6" s="2149"/>
      <c r="J6" s="2148" t="e">
        <f>I5&amp;".1"</f>
        <v>#N/A</v>
      </c>
      <c r="K6" s="1281"/>
      <c r="L6" s="1282" t="s">
        <v>376</v>
      </c>
      <c r="P6" s="2150"/>
      <c r="Q6" s="2150">
        <v>1</v>
      </c>
      <c r="R6" s="281"/>
      <c r="S6" s="1405" t="e">
        <f>$J6</f>
        <v>#N/A</v>
      </c>
      <c r="T6" s="203" t="s">
        <v>377</v>
      </c>
      <c r="U6" s="217"/>
      <c r="V6" s="2134"/>
      <c r="W6" s="2135"/>
      <c r="X6" s="2135"/>
      <c r="Y6" s="2135"/>
      <c r="Z6" s="2135"/>
      <c r="AA6" s="2135"/>
      <c r="AB6" s="2136"/>
      <c r="AC6" s="2134"/>
      <c r="AD6" s="2135"/>
      <c r="AE6" s="2135"/>
      <c r="AF6" s="2135"/>
      <c r="AG6" s="2135"/>
      <c r="AH6" s="2135"/>
      <c r="AI6" s="2135"/>
      <c r="AJ6" s="2136"/>
      <c r="AK6" s="1228" t="s">
        <v>455</v>
      </c>
      <c r="AM6" s="425"/>
      <c r="AN6" s="425" t="str">
        <f t="shared" si="0"/>
        <v>Группа потребителей</v>
      </c>
      <c r="AO6" s="425"/>
      <c r="AP6" s="425"/>
    </row>
    <row r="7" spans="1:42" ht="23.25" hidden="1" customHeight="1">
      <c r="A7" s="1281"/>
      <c r="B7" s="1281"/>
      <c r="C7" s="1281"/>
      <c r="D7" s="1281"/>
      <c r="E7" s="2147"/>
      <c r="F7" s="2147"/>
      <c r="G7" s="2147"/>
      <c r="H7" s="2147"/>
      <c r="I7" s="2149"/>
      <c r="J7" s="2149"/>
      <c r="K7" s="2148" t="e">
        <f>J6&amp;".1"</f>
        <v>#N/A</v>
      </c>
      <c r="L7" s="1282"/>
      <c r="P7" s="2150"/>
      <c r="Q7" s="2150"/>
      <c r="R7" s="281">
        <v>1</v>
      </c>
      <c r="S7" s="1405" t="e">
        <f>$K7</f>
        <v>#N/A</v>
      </c>
      <c r="T7" s="1354"/>
      <c r="U7" s="217"/>
      <c r="V7" s="668"/>
      <c r="W7" s="668"/>
      <c r="X7" s="1178"/>
      <c r="Y7" s="2151"/>
      <c r="Z7" s="2029" t="s">
        <v>50</v>
      </c>
      <c r="AA7" s="2151"/>
      <c r="AB7" s="2029" t="s">
        <v>50</v>
      </c>
      <c r="AC7" s="668"/>
      <c r="AD7" s="668"/>
      <c r="AE7" s="1178"/>
      <c r="AF7" s="2151"/>
      <c r="AG7" s="2029" t="s">
        <v>50</v>
      </c>
      <c r="AH7" s="2153"/>
      <c r="AI7" s="2029" t="s">
        <v>50</v>
      </c>
      <c r="AJ7" s="1355"/>
      <c r="AK7"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7"/>
      <c r="F8" s="2147"/>
      <c r="G8" s="2147"/>
      <c r="H8" s="2147"/>
      <c r="I8" s="2149"/>
      <c r="J8" s="2149"/>
      <c r="K8" s="2148"/>
      <c r="L8" s="1282"/>
      <c r="P8" s="2150"/>
      <c r="Q8" s="2150"/>
      <c r="R8" s="281"/>
      <c r="S8" s="1402"/>
      <c r="T8" s="217"/>
      <c r="U8" s="217"/>
      <c r="V8" s="249"/>
      <c r="W8" s="249"/>
      <c r="X8" s="253" t="str">
        <f>Y7&amp;"-"&amp;AA7</f>
        <v>-</v>
      </c>
      <c r="Y8" s="2152"/>
      <c r="Z8" s="2029"/>
      <c r="AA8" s="2152"/>
      <c r="AB8" s="2029"/>
      <c r="AC8" s="249"/>
      <c r="AD8" s="249"/>
      <c r="AE8" s="253" t="str">
        <f>AF7&amp;"-"&amp;AH7</f>
        <v>-</v>
      </c>
      <c r="AF8" s="2152"/>
      <c r="AG8" s="2029"/>
      <c r="AH8" s="2154"/>
      <c r="AI8" s="2029"/>
      <c r="AJ8" s="1356"/>
      <c r="AK8" s="2212"/>
      <c r="AM8" s="425"/>
      <c r="AN8" s="425" t="str">
        <f t="shared" si="0"/>
        <v/>
      </c>
      <c r="AO8" s="425"/>
      <c r="AP8" s="425"/>
    </row>
    <row r="9" spans="1:42" ht="21" hidden="1" customHeight="1">
      <c r="A9" s="1281"/>
      <c r="B9" s="1281"/>
      <c r="C9" s="1281"/>
      <c r="D9" s="1281"/>
      <c r="E9" s="2147"/>
      <c r="F9" s="2147"/>
      <c r="G9" s="2147"/>
      <c r="H9" s="2147"/>
      <c r="I9" s="2149"/>
      <c r="J9" s="2148"/>
      <c r="K9" s="1281"/>
      <c r="L9" s="1282"/>
      <c r="P9" s="2150"/>
      <c r="Q9" s="2150"/>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7"/>
      <c r="F10" s="2147"/>
      <c r="G10" s="2147"/>
      <c r="H10" s="2147"/>
      <c r="I10" s="2148"/>
      <c r="J10" s="1281"/>
      <c r="K10" s="1281"/>
      <c r="L10" s="1282"/>
      <c r="P10" s="2150"/>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7"/>
      <c r="F11" s="2147"/>
      <c r="G11" s="2147"/>
      <c r="H11" s="2146"/>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7"/>
      <c r="F12" s="2146"/>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6"/>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4"/>
      <c r="AG15" s="2143" t="s">
        <v>50</v>
      </c>
      <c r="AH15" s="2144"/>
      <c r="AI15" s="2143" t="s">
        <v>50</v>
      </c>
    </row>
    <row r="16" spans="1:42" ht="14.25" hidden="1" customHeight="1">
      <c r="AC16" s="1278"/>
      <c r="AD16" s="1278"/>
      <c r="AE16" s="253" t="str">
        <f>AF15&amp;"-"&amp;AH15</f>
        <v>-</v>
      </c>
      <c r="AF16" s="2143"/>
      <c r="AG16" s="2143"/>
      <c r="AH16" s="2143"/>
      <c r="AI16" s="2143"/>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26.25" customHeight="1">
      <c r="Q24" s="304"/>
      <c r="R24" s="304"/>
      <c r="S24" s="212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27"/>
      <c r="U24" s="2127"/>
      <c r="V24" s="2127"/>
      <c r="W24" s="2127"/>
      <c r="X24" s="2127"/>
      <c r="Y24" s="2127"/>
      <c r="Z24" s="2127"/>
      <c r="AA24" s="2127"/>
      <c r="AB24" s="2127"/>
      <c r="AC24" s="2127"/>
      <c r="AD24" s="2127"/>
      <c r="AE24" s="2127"/>
      <c r="AF24" s="2127"/>
      <c r="AG24" s="2127"/>
      <c r="AH24" s="2127"/>
      <c r="AI24" s="1154"/>
    </row>
    <row r="25" spans="1:42" ht="14.25" customHeight="1">
      <c r="Q25" s="304"/>
      <c r="R25" s="304"/>
      <c r="S25" s="2098" t="str">
        <f>IF(org=0,"Не определено",org)</f>
        <v>ООО "Горводоканал"</v>
      </c>
      <c r="T25" s="2098"/>
      <c r="U25" s="2098"/>
      <c r="V25" s="2098"/>
      <c r="W25" s="2098"/>
      <c r="X25" s="2098"/>
      <c r="Y25" s="2098"/>
      <c r="Z25" s="2098"/>
      <c r="AA25" s="2098"/>
      <c r="AB25" s="2098"/>
      <c r="AC25" s="2098"/>
      <c r="AD25" s="2098"/>
      <c r="AE25" s="2098"/>
      <c r="AF25" s="2098"/>
      <c r="AG25" s="2098"/>
      <c r="AH25" s="2098"/>
      <c r="AI25" s="1154"/>
    </row>
    <row r="26" spans="1:42" ht="14.25"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customHeight="1">
      <c r="A27" s="1286"/>
      <c r="B27" s="1286"/>
      <c r="C27" s="1286"/>
      <c r="D27" s="1286"/>
      <c r="E27" s="1286"/>
      <c r="F27" s="1286"/>
      <c r="G27" s="1286"/>
      <c r="H27" s="1286"/>
      <c r="I27" s="1286"/>
      <c r="J27" s="1286"/>
      <c r="K27" s="1286"/>
      <c r="L27" s="1287"/>
      <c r="M27" s="1286"/>
      <c r="N27" s="1286"/>
      <c r="O27" s="1286"/>
      <c r="S27" s="2137" t="s">
        <v>37</v>
      </c>
      <c r="T27" s="2137"/>
      <c r="U27" s="1290"/>
      <c r="V27" s="2139" t="str">
        <f>IF(TITLE_NAME_OR_PR_CHANGE="",IF(TITLE_NAME_OR_PR="","",TITLE_NAME_OR_PR),TITLE_NAME_OR_PR_CHANGE)</f>
        <v/>
      </c>
      <c r="W27" s="2139"/>
      <c r="X27" s="2139"/>
      <c r="Y27" s="2139"/>
      <c r="Z27" s="2139"/>
      <c r="AA27" s="2139"/>
      <c r="AB27" s="251"/>
      <c r="AC27" s="2139" t="str">
        <f>IF(TITLE_NAME_OR_PR_CHANGE="",IF(TITLE_NAME_OR_PR="","",TITLE_NAME_OR_PR),TITLE_NAME_OR_PR_CHANGE)</f>
        <v/>
      </c>
      <c r="AD27" s="2139"/>
      <c r="AE27" s="2139"/>
      <c r="AF27" s="2139"/>
      <c r="AG27" s="2139"/>
      <c r="AH27" s="2139"/>
      <c r="AI27" s="251"/>
      <c r="AJ27" s="251"/>
      <c r="AK27" s="198"/>
      <c r="AL27" s="295"/>
      <c r="AM27" s="295"/>
      <c r="AN27" s="295"/>
      <c r="AO27" s="295"/>
      <c r="AP27" s="295"/>
    </row>
    <row r="28" spans="1:42" s="1887" customFormat="1" ht="18.75" customHeight="1">
      <c r="A28" s="1286"/>
      <c r="B28" s="1286"/>
      <c r="C28" s="1286"/>
      <c r="D28" s="1286"/>
      <c r="E28" s="1286"/>
      <c r="F28" s="1286"/>
      <c r="G28" s="1286"/>
      <c r="H28" s="1286"/>
      <c r="I28" s="1286"/>
      <c r="J28" s="1286"/>
      <c r="K28" s="1286"/>
      <c r="L28" s="1287"/>
      <c r="M28" s="1286"/>
      <c r="N28" s="1286"/>
      <c r="O28" s="1286"/>
      <c r="S28" s="2137" t="s">
        <v>393</v>
      </c>
      <c r="T28" s="2137"/>
      <c r="U28" s="1290"/>
      <c r="V28" s="2138" t="str">
        <f>IF(TITLE_DATE_PR_CHANGE="",IF(TITLE_DATE_PR="","",TITLE_DATE_PR),TITLE_DATE_PR_CHANGE)</f>
        <v/>
      </c>
      <c r="W28" s="2138"/>
      <c r="X28" s="2138"/>
      <c r="Y28" s="2138"/>
      <c r="Z28" s="2138"/>
      <c r="AA28" s="2138"/>
      <c r="AB28" s="251"/>
      <c r="AC28" s="2138" t="str">
        <f>IF(TITLE_DATE_PR_CHANGE="",IF(TITLE_DATE_PR="","",TITLE_DATE_PR),TITLE_DATE_PR_CHANGE)</f>
        <v/>
      </c>
      <c r="AD28" s="2138"/>
      <c r="AE28" s="2138"/>
      <c r="AF28" s="2138"/>
      <c r="AG28" s="2138"/>
      <c r="AH28" s="2138"/>
      <c r="AI28" s="251"/>
      <c r="AJ28" s="251"/>
      <c r="AK28" s="198"/>
      <c r="AL28" s="295"/>
      <c r="AM28" s="295"/>
      <c r="AN28" s="295"/>
      <c r="AO28" s="295"/>
      <c r="AP28" s="295"/>
    </row>
    <row r="29" spans="1:42" s="1887" customFormat="1" ht="18.75" customHeight="1">
      <c r="A29" s="1286"/>
      <c r="B29" s="1286"/>
      <c r="C29" s="1286"/>
      <c r="D29" s="1286"/>
      <c r="E29" s="1286"/>
      <c r="F29" s="1286"/>
      <c r="G29" s="1286"/>
      <c r="H29" s="1286"/>
      <c r="I29" s="1286"/>
      <c r="J29" s="1286"/>
      <c r="K29" s="1286"/>
      <c r="L29" s="1287"/>
      <c r="M29" s="1286"/>
      <c r="N29" s="1286"/>
      <c r="O29" s="1286"/>
      <c r="S29" s="2137" t="s">
        <v>394</v>
      </c>
      <c r="T29" s="2137"/>
      <c r="U29" s="1290"/>
      <c r="V29" s="2139" t="str">
        <f>IF(TITLE_NUMBER_PR_CHANGE="",IF(TITLE_NUMBER_PR="","",TITLE_NUMBER_PR),TITLE_NUMBER_PR_CHANGE)</f>
        <v/>
      </c>
      <c r="W29" s="2139"/>
      <c r="X29" s="2139"/>
      <c r="Y29" s="2139"/>
      <c r="Z29" s="2139"/>
      <c r="AA29" s="2139"/>
      <c r="AB29" s="251"/>
      <c r="AC29" s="2139" t="str">
        <f>IF(TITLE_NUMBER_PR_CHANGE="",IF(TITLE_NUMBER_PR="","",TITLE_NUMBER_PR),TITLE_NUMBER_PR_CHANGE)</f>
        <v/>
      </c>
      <c r="AD29" s="2139"/>
      <c r="AE29" s="2139"/>
      <c r="AF29" s="2139"/>
      <c r="AG29" s="2139"/>
      <c r="AH29" s="2139"/>
      <c r="AI29" s="251"/>
      <c r="AJ29" s="251"/>
      <c r="AK29" s="198"/>
      <c r="AL29" s="295"/>
      <c r="AM29" s="295"/>
      <c r="AN29" s="295"/>
      <c r="AO29" s="295"/>
      <c r="AP29" s="295"/>
    </row>
    <row r="30" spans="1:42" s="1887" customFormat="1" ht="18.75" customHeight="1">
      <c r="A30" s="1286"/>
      <c r="B30" s="1286"/>
      <c r="C30" s="1286"/>
      <c r="D30" s="1286"/>
      <c r="E30" s="1286"/>
      <c r="F30" s="1286"/>
      <c r="G30" s="1286"/>
      <c r="H30" s="1286"/>
      <c r="I30" s="1286"/>
      <c r="J30" s="1286"/>
      <c r="K30" s="1286"/>
      <c r="L30" s="1287"/>
      <c r="M30" s="1286"/>
      <c r="N30" s="1286"/>
      <c r="O30" s="1286"/>
      <c r="S30" s="2137" t="s">
        <v>38</v>
      </c>
      <c r="T30" s="2137"/>
      <c r="U30" s="1290"/>
      <c r="V30" s="2139" t="str">
        <f>IF(TITLE_IST_PUB_CHANGE="",IF(TITLE_IST_PUB="","",TITLE_IST_PUB),TITLE_IST_PUB_CHANGE)</f>
        <v/>
      </c>
      <c r="W30" s="2139"/>
      <c r="X30" s="2139"/>
      <c r="Y30" s="2139"/>
      <c r="Z30" s="2139"/>
      <c r="AA30" s="2139"/>
      <c r="AB30" s="251"/>
      <c r="AC30" s="2139" t="str">
        <f>IF(TITLE_IST_PUB_CHANGE="",IF(TITLE_IST_PUB="","",TITLE_IST_PUB),TITLE_IST_PUB_CHANGE)</f>
        <v/>
      </c>
      <c r="AD30" s="2139"/>
      <c r="AE30" s="2139"/>
      <c r="AF30" s="2139"/>
      <c r="AG30" s="2139"/>
      <c r="AH30" s="2139"/>
      <c r="AI30" s="251"/>
      <c r="AJ30" s="251"/>
      <c r="AK30" s="198"/>
      <c r="AL30" s="295"/>
      <c r="AM30" s="295"/>
      <c r="AN30" s="295"/>
      <c r="AO30" s="295"/>
      <c r="AP30" s="295"/>
    </row>
    <row r="31" spans="1:42" ht="14.25"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customHeight="1">
      <c r="A32" s="1286"/>
      <c r="B32" s="1286"/>
      <c r="C32" s="1286"/>
      <c r="D32" s="1286"/>
      <c r="E32" s="1286"/>
      <c r="F32" s="1286"/>
      <c r="G32" s="1286"/>
      <c r="H32" s="1286"/>
      <c r="I32" s="1286"/>
      <c r="J32" s="1286"/>
      <c r="K32" s="1286"/>
      <c r="L32" s="1287"/>
      <c r="M32" s="1286"/>
      <c r="N32" s="1286"/>
      <c r="O32" s="1286"/>
      <c r="S32" s="2137" t="s">
        <v>395</v>
      </c>
      <c r="T32" s="2137"/>
      <c r="U32" s="1290"/>
      <c r="V32" s="2138" t="str">
        <f>IF(TITLE_DATE_PR_CHANGE="",IF(TITLE_DATE_PR="","",TITLE_DATE_PR),TITLE_DATE_PR_CHANGE)</f>
        <v/>
      </c>
      <c r="W32" s="2138"/>
      <c r="X32" s="2138"/>
      <c r="Y32" s="2138"/>
      <c r="Z32" s="2138"/>
      <c r="AA32" s="2138"/>
      <c r="AB32" s="251"/>
      <c r="AC32" s="2138" t="str">
        <f>IF(TITLE_DATE_PR_CHANGE="",IF(TITLE_DATE_PR="","",TITLE_DATE_PR),TITLE_DATE_PR_CHANGE)</f>
        <v/>
      </c>
      <c r="AD32" s="2138"/>
      <c r="AE32" s="2138"/>
      <c r="AF32" s="2138"/>
      <c r="AG32" s="2138"/>
      <c r="AH32" s="2138"/>
      <c r="AI32" s="251"/>
      <c r="AJ32" s="251"/>
      <c r="AK32" s="198"/>
      <c r="AL32" s="295"/>
      <c r="AM32" s="295"/>
      <c r="AN32" s="295"/>
      <c r="AO32" s="295"/>
      <c r="AP32" s="295"/>
    </row>
    <row r="33" spans="1:42" s="1887" customFormat="1" ht="18.75" customHeight="1">
      <c r="A33" s="1286"/>
      <c r="B33" s="1286"/>
      <c r="C33" s="1286"/>
      <c r="D33" s="1286"/>
      <c r="E33" s="1286"/>
      <c r="F33" s="1286"/>
      <c r="G33" s="1286"/>
      <c r="H33" s="1286"/>
      <c r="I33" s="1286"/>
      <c r="J33" s="1286"/>
      <c r="K33" s="1286"/>
      <c r="L33" s="1287"/>
      <c r="M33" s="1286"/>
      <c r="N33" s="1286"/>
      <c r="O33" s="1286"/>
      <c r="S33" s="2137" t="s">
        <v>396</v>
      </c>
      <c r="T33" s="2137"/>
      <c r="U33" s="1290"/>
      <c r="V33" s="2139" t="str">
        <f>IF(TITLE_NUMBER_PR_CHANGE="",IF(TITLE_NUMBER_PR="","",TITLE_NUMBER_PR),TITLE_NUMBER_PR_CHANGE)</f>
        <v/>
      </c>
      <c r="W33" s="2139"/>
      <c r="X33" s="2139"/>
      <c r="Y33" s="2139"/>
      <c r="Z33" s="2139"/>
      <c r="AA33" s="2139"/>
      <c r="AB33" s="251"/>
      <c r="AC33" s="2139" t="str">
        <f>IF(TITLE_NUMBER_PR_CHANGE="",IF(TITLE_NUMBER_PR="","",TITLE_NUMBER_PR),TITLE_NUMBER_PR_CHANGE)</f>
        <v/>
      </c>
      <c r="AD33" s="2139"/>
      <c r="AE33" s="2139"/>
      <c r="AF33" s="2139"/>
      <c r="AG33" s="2139"/>
      <c r="AH33" s="2139"/>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8"/>
      <c r="W35" s="2158"/>
      <c r="X35" s="2158"/>
      <c r="Y35" s="2158"/>
      <c r="Z35" s="2158"/>
      <c r="AA35" s="2158"/>
      <c r="AB35" s="2158"/>
      <c r="AC35" s="2158"/>
      <c r="AD35" s="2158"/>
      <c r="AE35" s="2158"/>
      <c r="AF35" s="2158"/>
      <c r="AG35" s="2158"/>
      <c r="AH35" s="2158"/>
      <c r="AI35" s="2158"/>
    </row>
    <row r="36" spans="1:42" ht="14.25" customHeight="1">
      <c r="Q36" s="304"/>
      <c r="R36" s="304"/>
      <c r="S36" s="2019" t="s">
        <v>268</v>
      </c>
      <c r="T36" s="2019"/>
      <c r="U36" s="2019"/>
      <c r="V36" s="2019"/>
      <c r="W36" s="2019"/>
      <c r="X36" s="2019"/>
      <c r="Y36" s="2019"/>
      <c r="Z36" s="2019"/>
      <c r="AA36" s="2019"/>
      <c r="AB36" s="2019"/>
      <c r="AC36" s="2019"/>
      <c r="AD36" s="2019"/>
      <c r="AE36" s="2019"/>
      <c r="AF36" s="2019"/>
      <c r="AG36" s="2019"/>
      <c r="AH36" s="2019"/>
      <c r="AI36" s="2019"/>
      <c r="AJ36" s="2019"/>
      <c r="AK36" s="2019" t="s">
        <v>269</v>
      </c>
    </row>
    <row r="37" spans="1:42" ht="14.25" customHeight="1">
      <c r="Q37" s="304"/>
      <c r="R37" s="304"/>
      <c r="S37" s="2159" t="s">
        <v>73</v>
      </c>
      <c r="T37" s="2107" t="s">
        <v>398</v>
      </c>
      <c r="U37" s="218"/>
      <c r="V37" s="2160" t="s">
        <v>399</v>
      </c>
      <c r="W37" s="2161"/>
      <c r="X37" s="2161"/>
      <c r="Y37" s="2161"/>
      <c r="Z37" s="2161"/>
      <c r="AA37" s="2162"/>
      <c r="AB37" s="2163" t="s">
        <v>400</v>
      </c>
      <c r="AC37" s="2160" t="s">
        <v>399</v>
      </c>
      <c r="AD37" s="2161"/>
      <c r="AE37" s="2161"/>
      <c r="AF37" s="2161"/>
      <c r="AG37" s="2161"/>
      <c r="AH37" s="2162"/>
      <c r="AI37" s="2163" t="s">
        <v>401</v>
      </c>
      <c r="AJ37" s="2166" t="s">
        <v>402</v>
      </c>
      <c r="AK37" s="2019"/>
    </row>
    <row r="38" spans="1:42" ht="33.75" customHeight="1">
      <c r="Q38" s="304"/>
      <c r="R38" s="304"/>
      <c r="S38" s="2159"/>
      <c r="T38" s="2107"/>
      <c r="U38" s="940"/>
      <c r="V38" s="1395" t="s">
        <v>500</v>
      </c>
      <c r="W38" s="2001" t="s">
        <v>501</v>
      </c>
      <c r="X38" s="2000"/>
      <c r="Y38" s="2001" t="s">
        <v>406</v>
      </c>
      <c r="Z38" s="2006"/>
      <c r="AA38" s="2000"/>
      <c r="AB38" s="2164"/>
      <c r="AC38" s="1395" t="s">
        <v>500</v>
      </c>
      <c r="AD38" s="2001" t="s">
        <v>501</v>
      </c>
      <c r="AE38" s="2000"/>
      <c r="AF38" s="2001" t="s">
        <v>406</v>
      </c>
      <c r="AG38" s="2006"/>
      <c r="AH38" s="2000"/>
      <c r="AI38" s="2164"/>
      <c r="AJ38" s="2167"/>
      <c r="AK38" s="2019"/>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9"/>
      <c r="T39" s="2107"/>
      <c r="U39" s="219"/>
      <c r="V39" s="1395" t="s">
        <v>502</v>
      </c>
      <c r="W39" s="1130" t="s">
        <v>503</v>
      </c>
      <c r="X39" s="1130" t="s">
        <v>504</v>
      </c>
      <c r="Y39" s="1401" t="s">
        <v>416</v>
      </c>
      <c r="Z39" s="2112" t="s">
        <v>417</v>
      </c>
      <c r="AA39" s="2126"/>
      <c r="AB39" s="2165"/>
      <c r="AC39" s="1395" t="s">
        <v>502</v>
      </c>
      <c r="AD39" s="1130" t="s">
        <v>503</v>
      </c>
      <c r="AE39" s="1130" t="s">
        <v>504</v>
      </c>
      <c r="AF39" s="1401" t="s">
        <v>416</v>
      </c>
      <c r="AG39" s="2112" t="s">
        <v>417</v>
      </c>
      <c r="AH39" s="2126"/>
      <c r="AI39" s="2165"/>
      <c r="AJ39" s="2168"/>
      <c r="AK39" s="2019"/>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7">
        <f ca="1">OFFSET(Z40,0,-1)+1</f>
        <v>7</v>
      </c>
      <c r="AA40" s="2157"/>
      <c r="AB40" s="1394">
        <f ca="1">OFFSET(AB40,0,-2)+1</f>
        <v>8</v>
      </c>
      <c r="AC40" s="1394">
        <f ca="1">OFFSET(AC40,0,-1)+1</f>
        <v>9</v>
      </c>
      <c r="AD40" s="1394">
        <f ca="1">OFFSET(AD40,0,-1)+1</f>
        <v>10</v>
      </c>
      <c r="AE40" s="1394">
        <f ca="1">OFFSET(AE40,0,-1)+1</f>
        <v>11</v>
      </c>
      <c r="AF40" s="1394">
        <f ca="1">OFFSET(AF40,0,-1)+1</f>
        <v>12</v>
      </c>
      <c r="AG40" s="2157">
        <f ca="1">OFFSET(AG40,0,-1)+1</f>
        <v>13</v>
      </c>
      <c r="AH40" s="2157"/>
      <c r="AI40" s="1394">
        <f ca="1">OFFSET(AI40,0,-2)+1</f>
        <v>14</v>
      </c>
      <c r="AJ40" s="1156">
        <f ca="1">OFFSET(AJ40,0,-1)</f>
        <v>14</v>
      </c>
      <c r="AK40" s="1394">
        <f ca="1">OFFSET(AK40,0,-1)+1</f>
        <v>15</v>
      </c>
      <c r="AL40" s="436"/>
      <c r="AM40" s="436"/>
      <c r="AN40" s="436"/>
      <c r="AO40" s="436"/>
      <c r="AP40" s="436"/>
    </row>
    <row r="41" spans="1:42" ht="23.25" customHeight="1">
      <c r="A41" s="1281" t="s">
        <v>219</v>
      </c>
      <c r="B41" s="1281"/>
      <c r="C41" s="1281"/>
      <c r="D41" s="1281"/>
      <c r="E41" s="2146">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40"/>
      <c r="W41" s="2141"/>
      <c r="X41" s="2141"/>
      <c r="Y41" s="2141"/>
      <c r="Z41" s="2141"/>
      <c r="AA41" s="2141"/>
      <c r="AB41" s="2142"/>
      <c r="AC41" s="2140" t="str">
        <f>INDEX(PT_DIFFERENTIATION_NTAR,MATCH(A41,PT_DIFFERENTIATION_NTAR_ID,0))</f>
        <v/>
      </c>
      <c r="AD41" s="2141"/>
      <c r="AE41" s="2141"/>
      <c r="AF41" s="2141"/>
      <c r="AG41" s="2141"/>
      <c r="AH41" s="2141"/>
      <c r="AI41" s="2141"/>
      <c r="AJ41" s="2142"/>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219</v>
      </c>
      <c r="B42" s="1281" t="s">
        <v>220</v>
      </c>
      <c r="C42" s="1281"/>
      <c r="D42" s="1281"/>
      <c r="E42" s="2147"/>
      <c r="F42" s="2146">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40"/>
      <c r="W42" s="2141"/>
      <c r="X42" s="2141"/>
      <c r="Y42" s="2141"/>
      <c r="Z42" s="2141"/>
      <c r="AA42" s="2141"/>
      <c r="AB42" s="2142"/>
      <c r="AC42" s="2140" t="str">
        <f>INDEX(PT_DIFFERENTIATION_TER,MATCH(B42,PT_DIFFERENTIATION_TER_ID,0))</f>
        <v/>
      </c>
      <c r="AD42" s="2141"/>
      <c r="AE42" s="2141"/>
      <c r="AF42" s="2141"/>
      <c r="AG42" s="2141"/>
      <c r="AH42" s="2141"/>
      <c r="AI42" s="2141"/>
      <c r="AJ42" s="2142"/>
      <c r="AK42" s="1179" t="s">
        <v>368</v>
      </c>
      <c r="AM42" s="425"/>
      <c r="AN42" s="425" t="str">
        <f t="shared" si="1"/>
        <v>Территория действия тарифа</v>
      </c>
      <c r="AO42" s="425"/>
      <c r="AP42" s="425"/>
    </row>
    <row r="43" spans="1:42" ht="23.25" customHeight="1">
      <c r="A43" s="1281" t="s">
        <v>219</v>
      </c>
      <c r="B43" s="1281" t="s">
        <v>220</v>
      </c>
      <c r="C43" s="1281" t="s">
        <v>221</v>
      </c>
      <c r="D43" s="1281"/>
      <c r="E43" s="2147"/>
      <c r="F43" s="2147"/>
      <c r="G43" s="2146">
        <v>1</v>
      </c>
      <c r="H43" s="1281"/>
      <c r="I43" s="1281"/>
      <c r="J43" s="1281"/>
      <c r="K43" s="1281"/>
      <c r="L43" s="1282"/>
      <c r="M43" s="1283"/>
      <c r="N43" s="1283"/>
      <c r="O43" s="1283"/>
      <c r="P43" s="278"/>
      <c r="Q43" s="276"/>
      <c r="R43" s="277"/>
      <c r="S43" s="1405" t="str">
        <f>INDEX(PT_DIFFERENTIATION_NUM_CS,MATCH(C43,PT_DIFFERENTIATION_CS_ID,0))</f>
        <v>..</v>
      </c>
      <c r="T43" s="228" t="s">
        <v>498</v>
      </c>
      <c r="U43" s="217"/>
      <c r="V43" s="2140"/>
      <c r="W43" s="2141"/>
      <c r="X43" s="2141"/>
      <c r="Y43" s="2141"/>
      <c r="Z43" s="2141"/>
      <c r="AA43" s="2141"/>
      <c r="AB43" s="2142"/>
      <c r="AC43" s="2140" t="str">
        <f>INDEX(PT_DIFFERENTIATION_CS,MATCH(C43,PT_DIFFERENTIATION_CS_ID,0))</f>
        <v/>
      </c>
      <c r="AD43" s="2141"/>
      <c r="AE43" s="2141"/>
      <c r="AF43" s="2141"/>
      <c r="AG43" s="2141"/>
      <c r="AH43" s="2141"/>
      <c r="AI43" s="2141"/>
      <c r="AJ43" s="2142"/>
      <c r="AK43" s="1179" t="s">
        <v>499</v>
      </c>
      <c r="AM43" s="425"/>
      <c r="AN43" s="425" t="str">
        <f t="shared" si="1"/>
        <v>Наименование централизованной системы горячего водоснабжения</v>
      </c>
      <c r="AO43" s="425"/>
      <c r="AP43" s="425"/>
    </row>
    <row r="44" spans="1:42" ht="23.25" customHeight="1">
      <c r="A44" s="1281" t="s">
        <v>219</v>
      </c>
      <c r="B44" s="1281" t="s">
        <v>220</v>
      </c>
      <c r="C44" s="1281" t="s">
        <v>221</v>
      </c>
      <c r="D44" s="1281" t="s">
        <v>505</v>
      </c>
      <c r="E44" s="2147"/>
      <c r="F44" s="2147"/>
      <c r="G44" s="2147"/>
      <c r="H44" s="2147"/>
      <c r="I44" s="2148" t="str">
        <f>S43&amp;".1"</f>
        <v>...1</v>
      </c>
      <c r="J44" s="1281"/>
      <c r="K44" s="1281"/>
      <c r="L44" s="1282"/>
      <c r="P44" s="2150">
        <v>1</v>
      </c>
      <c r="Q44" s="1393"/>
      <c r="R44" s="280"/>
      <c r="S44" s="1405"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219</v>
      </c>
      <c r="B45" s="1281" t="s">
        <v>220</v>
      </c>
      <c r="C45" s="1281" t="s">
        <v>221</v>
      </c>
      <c r="D45" s="1281" t="s">
        <v>505</v>
      </c>
      <c r="E45" s="2147"/>
      <c r="F45" s="2147"/>
      <c r="G45" s="2147"/>
      <c r="H45" s="2147"/>
      <c r="I45" s="2149"/>
      <c r="J45" s="2148" t="str">
        <f>I44&amp;".1"</f>
        <v>...1.1</v>
      </c>
      <c r="K45" s="1281"/>
      <c r="L45" s="1282" t="s">
        <v>376</v>
      </c>
      <c r="P45" s="2150"/>
      <c r="Q45" s="2150">
        <v>1</v>
      </c>
      <c r="R45" s="281"/>
      <c r="S45" s="1405" t="str">
        <f>$J45</f>
        <v>...1.1</v>
      </c>
      <c r="T45" s="203" t="s">
        <v>377</v>
      </c>
      <c r="U45" s="217"/>
      <c r="V45" s="2134"/>
      <c r="W45" s="2135"/>
      <c r="X45" s="2135"/>
      <c r="Y45" s="2135"/>
      <c r="Z45" s="2135"/>
      <c r="AA45" s="2135"/>
      <c r="AB45" s="2136"/>
      <c r="AC45" s="2134"/>
      <c r="AD45" s="2135"/>
      <c r="AE45" s="2135"/>
      <c r="AF45" s="2135"/>
      <c r="AG45" s="2135"/>
      <c r="AH45" s="2135"/>
      <c r="AI45" s="2135"/>
      <c r="AJ45" s="2136"/>
      <c r="AK45" s="1228" t="s">
        <v>455</v>
      </c>
      <c r="AM45" s="425"/>
      <c r="AN45" s="425" t="str">
        <f t="shared" si="1"/>
        <v>Группа потребителей</v>
      </c>
      <c r="AO45" s="425"/>
      <c r="AP45" s="425"/>
    </row>
    <row r="46" spans="1:42" ht="23.25" customHeight="1">
      <c r="A46" s="1281" t="s">
        <v>219</v>
      </c>
      <c r="B46" s="1281" t="s">
        <v>220</v>
      </c>
      <c r="C46" s="1281" t="s">
        <v>221</v>
      </c>
      <c r="D46" s="1281" t="s">
        <v>505</v>
      </c>
      <c r="E46" s="2147"/>
      <c r="F46" s="2147"/>
      <c r="G46" s="2147"/>
      <c r="H46" s="2147"/>
      <c r="I46" s="2149"/>
      <c r="J46" s="2149"/>
      <c r="K46" s="2148" t="str">
        <f>J45&amp;".1"</f>
        <v>...1.1.1</v>
      </c>
      <c r="L46" s="1282"/>
      <c r="P46" s="2150"/>
      <c r="Q46" s="2150"/>
      <c r="R46" s="281">
        <v>1</v>
      </c>
      <c r="S46" s="1405" t="str">
        <f>$K46</f>
        <v>...1.1.1</v>
      </c>
      <c r="T46" s="1354"/>
      <c r="U46" s="217"/>
      <c r="V46" s="1278"/>
      <c r="W46" s="1278"/>
      <c r="X46" s="1279"/>
      <c r="Y46" s="2144"/>
      <c r="Z46" s="2143" t="s">
        <v>50</v>
      </c>
      <c r="AA46" s="2144"/>
      <c r="AB46" s="2143" t="s">
        <v>50</v>
      </c>
      <c r="AC46" s="668"/>
      <c r="AD46" s="668"/>
      <c r="AE46" s="1178"/>
      <c r="AF46" s="2151"/>
      <c r="AG46" s="2029" t="s">
        <v>50</v>
      </c>
      <c r="AH46" s="2153"/>
      <c r="AI46" s="2029" t="s">
        <v>48</v>
      </c>
      <c r="AJ46" s="1355"/>
      <c r="AK46"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219</v>
      </c>
      <c r="B47" s="1281" t="s">
        <v>220</v>
      </c>
      <c r="C47" s="1281" t="s">
        <v>221</v>
      </c>
      <c r="D47" s="1281" t="s">
        <v>505</v>
      </c>
      <c r="E47" s="2147"/>
      <c r="F47" s="2147"/>
      <c r="G47" s="2147"/>
      <c r="H47" s="2147"/>
      <c r="I47" s="2149"/>
      <c r="J47" s="2149"/>
      <c r="K47" s="2148"/>
      <c r="L47" s="1282"/>
      <c r="P47" s="2150"/>
      <c r="Q47" s="2150"/>
      <c r="R47" s="281"/>
      <c r="S47" s="1402"/>
      <c r="T47" s="217"/>
      <c r="U47" s="217"/>
      <c r="V47" s="1278"/>
      <c r="W47" s="1278"/>
      <c r="X47" s="253" t="str">
        <f>Y46&amp;"-"&amp;AA46</f>
        <v>-</v>
      </c>
      <c r="Y47" s="2143"/>
      <c r="Z47" s="2143"/>
      <c r="AA47" s="2143"/>
      <c r="AB47" s="2143"/>
      <c r="AC47" s="249"/>
      <c r="AD47" s="249"/>
      <c r="AE47" s="253" t="str">
        <f>AF46&amp;"-"&amp;AH46</f>
        <v>-</v>
      </c>
      <c r="AF47" s="2152"/>
      <c r="AG47" s="2029"/>
      <c r="AH47" s="2154"/>
      <c r="AI47" s="2029"/>
      <c r="AJ47" s="1356"/>
      <c r="AK47" s="2212"/>
      <c r="AM47" s="425"/>
      <c r="AN47" s="425" t="str">
        <f t="shared" si="1"/>
        <v/>
      </c>
      <c r="AO47" s="425"/>
      <c r="AP47" s="425"/>
    </row>
    <row r="48" spans="1:42" ht="21" customHeight="1">
      <c r="A48" s="1281" t="s">
        <v>219</v>
      </c>
      <c r="B48" s="1281" t="s">
        <v>220</v>
      </c>
      <c r="C48" s="1281" t="s">
        <v>221</v>
      </c>
      <c r="D48" s="1281" t="s">
        <v>505</v>
      </c>
      <c r="E48" s="2147"/>
      <c r="F48" s="2147"/>
      <c r="G48" s="2147"/>
      <c r="H48" s="2147"/>
      <c r="I48" s="2149"/>
      <c r="J48" s="2148"/>
      <c r="K48" s="1281"/>
      <c r="L48" s="1282"/>
      <c r="P48" s="2150"/>
      <c r="Q48" s="2150"/>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219</v>
      </c>
      <c r="B49" s="1281" t="s">
        <v>220</v>
      </c>
      <c r="C49" s="1281" t="s">
        <v>221</v>
      </c>
      <c r="D49" s="1281" t="s">
        <v>505</v>
      </c>
      <c r="E49" s="2147"/>
      <c r="F49" s="2147"/>
      <c r="G49" s="2147"/>
      <c r="H49" s="2147"/>
      <c r="I49" s="2148"/>
      <c r="J49" s="1281"/>
      <c r="K49" s="1281"/>
      <c r="L49" s="1282"/>
      <c r="P49" s="2150"/>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219</v>
      </c>
      <c r="B50" s="1281" t="s">
        <v>220</v>
      </c>
      <c r="C50" s="1281" t="s">
        <v>221</v>
      </c>
      <c r="D50" s="1281" t="s">
        <v>505</v>
      </c>
      <c r="E50" s="2147"/>
      <c r="F50" s="2147"/>
      <c r="G50" s="2147"/>
      <c r="H50" s="2146"/>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219</v>
      </c>
      <c r="B51" s="1262" t="s">
        <v>220</v>
      </c>
      <c r="C51" s="1234"/>
      <c r="D51" s="1234"/>
      <c r="E51" s="2147"/>
      <c r="F51" s="2146"/>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219</v>
      </c>
      <c r="B52" s="1262"/>
      <c r="C52" s="1262"/>
      <c r="D52" s="1262"/>
      <c r="E52" s="2146"/>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5"/>
      <c r="U55" s="2145"/>
      <c r="V55" s="2145"/>
      <c r="W55" s="2145"/>
      <c r="X55" s="2145"/>
      <c r="Y55" s="2145"/>
      <c r="Z55" s="2145"/>
      <c r="AA55" s="2145"/>
      <c r="AB55" s="2145"/>
      <c r="AC55" s="2145"/>
      <c r="AD55" s="2145"/>
      <c r="AE55" s="2145"/>
      <c r="AF55" s="2145"/>
      <c r="AG55" s="2145"/>
      <c r="AH55" s="2145"/>
      <c r="AI55" s="2145"/>
      <c r="AJ55" s="2145"/>
      <c r="AK55" s="2145"/>
    </row>
    <row r="56" spans="1:42" ht="14.25" customHeight="1">
      <c r="O56" s="461"/>
    </row>
    <row r="57" spans="1:42" ht="14.25" customHeight="1">
      <c r="O57" s="461"/>
      <c r="S57" s="1166"/>
      <c r="T57" s="2145"/>
      <c r="U57" s="2145"/>
      <c r="V57" s="2145"/>
      <c r="W57" s="2145"/>
      <c r="X57" s="2145"/>
      <c r="Y57" s="2145"/>
      <c r="Z57" s="2145"/>
      <c r="AA57" s="2145"/>
      <c r="AB57" s="2145"/>
      <c r="AC57" s="2145"/>
      <c r="AD57" s="2145"/>
      <c r="AE57" s="2145"/>
      <c r="AF57" s="2145"/>
      <c r="AG57" s="2145"/>
      <c r="AH57" s="2145"/>
      <c r="AI57" s="2145"/>
      <c r="AJ57" s="2145"/>
      <c r="AK57" s="2145"/>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2" hidden="1" customWidth="1"/>
    <col min="2" max="2" width="11" style="1882" hidden="1" customWidth="1"/>
    <col min="3" max="3" width="10.5703125" style="1882" hidden="1"/>
    <col min="4" max="4" width="12.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901"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5" width="21.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2" width="3.7109375" style="1856" customWidth="1"/>
    <col min="33" max="33" width="24.7109375" style="1856" customWidth="1"/>
    <col min="34" max="36" width="3.7109375" style="1856" customWidth="1"/>
    <col min="37" max="37" width="24.7109375" style="1856" customWidth="1"/>
    <col min="38" max="40" width="3.7109375" style="1856" customWidth="1"/>
    <col min="41" max="41" width="18.85546875" style="1856" customWidth="1"/>
    <col min="42" max="44" width="3.7109375" style="1856" customWidth="1"/>
    <col min="45" max="45" width="18.85546875" style="1856" customWidth="1"/>
    <col min="46" max="49" width="21.7109375" style="1856" customWidth="1"/>
    <col min="50" max="50" width="11.7109375" style="1856" customWidth="1"/>
    <col min="51" max="51" width="3.7109375" style="1856" customWidth="1"/>
    <col min="52" max="52" width="11.7109375" style="1856" customWidth="1"/>
    <col min="53" max="53" width="8.5703125" style="1856" hidden="1" customWidth="1"/>
    <col min="54" max="54" width="4.7109375" style="1856" customWidth="1"/>
    <col min="55" max="55" width="115.7109375" style="1856" customWidth="1"/>
    <col min="56" max="57" width="10.5703125" style="1811"/>
    <col min="58" max="58" width="11.140625" style="1811" customWidth="1"/>
    <col min="59" max="60" width="10.5703125" style="1811"/>
  </cols>
  <sheetData>
    <row r="1" spans="1:60" ht="14.25" hidden="1" customHeight="1">
      <c r="W1" s="252"/>
      <c r="Y1" s="252"/>
      <c r="Z1" s="252"/>
      <c r="AW1" s="252"/>
      <c r="AX1" s="252"/>
    </row>
    <row r="2" spans="1:60" ht="21" hidden="1" customHeight="1">
      <c r="A2" s="1281"/>
      <c r="B2" s="1281"/>
      <c r="C2" s="1281"/>
      <c r="D2" s="1281"/>
      <c r="E2" s="2146">
        <v>1</v>
      </c>
      <c r="F2" s="1281"/>
      <c r="G2" s="1281"/>
      <c r="H2" s="1281"/>
      <c r="I2" s="1281"/>
      <c r="J2" s="1281"/>
      <c r="K2" s="1281"/>
      <c r="L2" s="1282"/>
      <c r="M2" s="1283"/>
      <c r="N2" s="1283"/>
      <c r="O2" s="1283"/>
      <c r="P2" s="1327"/>
      <c r="Q2" s="787"/>
      <c r="R2" s="279"/>
      <c r="S2" s="1405" t="e">
        <f>INDEX(PT_DIFFERENTIATION_NUM_NTAR,MATCH(A2,PT_DIFFERENTIATION_NTAR_ID,0))</f>
        <v>#N/A</v>
      </c>
      <c r="T2" s="215" t="s">
        <v>105</v>
      </c>
      <c r="U2" s="217"/>
      <c r="V2" s="2141"/>
      <c r="W2" s="2141"/>
      <c r="X2" s="2141"/>
      <c r="Y2" s="2141"/>
      <c r="Z2" s="2141"/>
      <c r="AA2" s="2141"/>
      <c r="AB2" s="2141"/>
      <c r="AC2" s="2142"/>
      <c r="AD2" s="2140" t="e">
        <f>INDEX(PT_DIFFERENTIATION_NTAR,MATCH(A2,PT_DIFFERENTIATION_NTAR_ID,0))</f>
        <v>#N/A</v>
      </c>
      <c r="AE2" s="2141"/>
      <c r="AF2" s="2141"/>
      <c r="AG2" s="2141"/>
      <c r="AH2" s="2141"/>
      <c r="AI2" s="2141"/>
      <c r="AJ2" s="2141"/>
      <c r="AK2" s="2141"/>
      <c r="AL2" s="2141"/>
      <c r="AM2" s="2141"/>
      <c r="AN2" s="2141"/>
      <c r="AO2" s="2141"/>
      <c r="AP2" s="2141"/>
      <c r="AQ2" s="2141"/>
      <c r="AR2" s="2141"/>
      <c r="AS2" s="2141"/>
      <c r="AT2" s="2141"/>
      <c r="AU2" s="2141"/>
      <c r="AV2" s="2141"/>
      <c r="AW2" s="2141"/>
      <c r="AX2" s="2141"/>
      <c r="AY2" s="2141"/>
      <c r="AZ2" s="2141"/>
      <c r="BA2" s="2141"/>
      <c r="BB2" s="2142"/>
      <c r="BC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5"/>
      <c r="BF2" s="425" t="str">
        <f t="shared" ref="BF2:BF8" si="0">IF(T2="","",T2)</f>
        <v>Наименование тарифа</v>
      </c>
      <c r="BG2" s="425"/>
      <c r="BH2" s="425"/>
    </row>
    <row r="3" spans="1:60" ht="21" hidden="1" customHeight="1">
      <c r="A3" s="1281"/>
      <c r="B3" s="1281"/>
      <c r="C3" s="1281"/>
      <c r="D3" s="1281"/>
      <c r="E3" s="2147"/>
      <c r="F3" s="2146">
        <v>1</v>
      </c>
      <c r="G3" s="1281"/>
      <c r="H3" s="1281"/>
      <c r="I3" s="1281"/>
      <c r="J3" s="1281"/>
      <c r="K3" s="1281"/>
      <c r="L3" s="1282"/>
      <c r="M3" s="1283"/>
      <c r="N3" s="1283"/>
      <c r="O3" s="1283"/>
      <c r="P3" s="1328"/>
      <c r="Q3" s="1329"/>
      <c r="R3" s="277"/>
      <c r="S3" s="1405" t="e">
        <f>INDEX(PT_DIFFERENTIATION_NUM_TER,MATCH(B3,PT_DIFFERENTIATION_TER_ID,0))</f>
        <v>#N/A</v>
      </c>
      <c r="T3" s="227" t="s">
        <v>367</v>
      </c>
      <c r="U3" s="217"/>
      <c r="V3" s="2141"/>
      <c r="W3" s="2141"/>
      <c r="X3" s="2141"/>
      <c r="Y3" s="2141"/>
      <c r="Z3" s="2141"/>
      <c r="AA3" s="2141"/>
      <c r="AB3" s="2141"/>
      <c r="AC3" s="2142"/>
      <c r="AD3" s="2140" t="e">
        <f>INDEX(PT_DIFFERENTIATION_TER,MATCH(B3,PT_DIFFERENTIATION_TER_ID,0))</f>
        <v>#N/A</v>
      </c>
      <c r="AE3" s="2141"/>
      <c r="AF3" s="2141"/>
      <c r="AG3" s="2141"/>
      <c r="AH3" s="2141"/>
      <c r="AI3" s="2141"/>
      <c r="AJ3" s="2141"/>
      <c r="AK3" s="2141"/>
      <c r="AL3" s="2141"/>
      <c r="AM3" s="2141"/>
      <c r="AN3" s="2141"/>
      <c r="AO3" s="2141"/>
      <c r="AP3" s="2141"/>
      <c r="AQ3" s="2141"/>
      <c r="AR3" s="2141"/>
      <c r="AS3" s="2141"/>
      <c r="AT3" s="2141"/>
      <c r="AU3" s="2141"/>
      <c r="AV3" s="2141"/>
      <c r="AW3" s="2141"/>
      <c r="AX3" s="2141"/>
      <c r="AY3" s="2141"/>
      <c r="AZ3" s="2141"/>
      <c r="BA3" s="2141"/>
      <c r="BB3" s="2142"/>
      <c r="BC3" s="1179" t="s">
        <v>368</v>
      </c>
      <c r="BE3" s="425"/>
      <c r="BF3" s="425" t="str">
        <f t="shared" si="0"/>
        <v>Территория действия тарифа</v>
      </c>
      <c r="BG3" s="425"/>
      <c r="BH3" s="425"/>
    </row>
    <row r="4" spans="1:60" ht="33.75" hidden="1" customHeight="1">
      <c r="A4" s="1281"/>
      <c r="B4" s="1281"/>
      <c r="C4" s="1281"/>
      <c r="D4" s="1281"/>
      <c r="E4" s="2147"/>
      <c r="F4" s="2147"/>
      <c r="G4" s="2146">
        <v>1</v>
      </c>
      <c r="H4" s="1281"/>
      <c r="I4" s="1281"/>
      <c r="J4" s="1281"/>
      <c r="K4" s="1281"/>
      <c r="L4" s="1282"/>
      <c r="M4" s="1283"/>
      <c r="N4" s="1283"/>
      <c r="O4" s="1283"/>
      <c r="P4" s="1330"/>
      <c r="Q4" s="1329"/>
      <c r="R4" s="277"/>
      <c r="S4" s="1405" t="e">
        <f>INDEX(PT_DIFFERENTIATION_NUM_CS,MATCH(C4,PT_DIFFERENTIATION_CS_ID,0))</f>
        <v>#N/A</v>
      </c>
      <c r="T4" s="228" t="s">
        <v>498</v>
      </c>
      <c r="U4" s="217"/>
      <c r="V4" s="2141"/>
      <c r="W4" s="2141"/>
      <c r="X4" s="2141"/>
      <c r="Y4" s="2141"/>
      <c r="Z4" s="2141"/>
      <c r="AA4" s="2141"/>
      <c r="AB4" s="2141"/>
      <c r="AC4" s="2142"/>
      <c r="AD4" s="2140" t="e">
        <f>INDEX(PT_DIFFERENTIATION_CS,MATCH(C4,PT_DIFFERENTIATION_CS_ID,0))</f>
        <v>#N/A</v>
      </c>
      <c r="AE4" s="2141"/>
      <c r="AF4" s="2141"/>
      <c r="AG4" s="2141"/>
      <c r="AH4" s="2141"/>
      <c r="AI4" s="2141"/>
      <c r="AJ4" s="2141"/>
      <c r="AK4" s="2141"/>
      <c r="AL4" s="2141"/>
      <c r="AM4" s="2141"/>
      <c r="AN4" s="2141"/>
      <c r="AO4" s="2141"/>
      <c r="AP4" s="2141"/>
      <c r="AQ4" s="2141"/>
      <c r="AR4" s="2141"/>
      <c r="AS4" s="2141"/>
      <c r="AT4" s="2141"/>
      <c r="AU4" s="2141"/>
      <c r="AV4" s="2141"/>
      <c r="AW4" s="2141"/>
      <c r="AX4" s="2141"/>
      <c r="AY4" s="2141"/>
      <c r="AZ4" s="2141"/>
      <c r="BA4" s="2141"/>
      <c r="BB4" s="2142"/>
      <c r="BC4" s="1179" t="s">
        <v>499</v>
      </c>
      <c r="BE4" s="425"/>
      <c r="BF4" s="425" t="str">
        <f t="shared" si="0"/>
        <v>Наименование централизованной системы горячего водоснабжения</v>
      </c>
      <c r="BG4" s="425"/>
      <c r="BH4" s="425"/>
    </row>
    <row r="5" spans="1:60" s="1811" customFormat="1" ht="14.25" hidden="1" customHeight="1">
      <c r="A5" s="1262"/>
      <c r="B5" s="1262"/>
      <c r="C5" s="1262"/>
      <c r="D5" s="1262"/>
      <c r="E5" s="2147"/>
      <c r="F5" s="2147"/>
      <c r="G5" s="2147"/>
      <c r="H5" s="2146">
        <v>1</v>
      </c>
      <c r="I5" s="1262"/>
      <c r="J5" s="1262"/>
      <c r="K5" s="1262"/>
      <c r="L5" s="1265"/>
      <c r="M5" s="1235"/>
      <c r="N5" s="1235"/>
      <c r="O5" s="1235"/>
      <c r="P5" s="1409"/>
      <c r="Q5" s="1410"/>
      <c r="R5" s="281"/>
      <c r="S5" s="951"/>
      <c r="T5" s="1411"/>
      <c r="U5" s="1302"/>
      <c r="V5" s="2176"/>
      <c r="W5" s="2176"/>
      <c r="X5" s="2176"/>
      <c r="Y5" s="2176"/>
      <c r="Z5" s="2176"/>
      <c r="AA5" s="2176"/>
      <c r="AB5" s="2176"/>
      <c r="AC5" s="2177"/>
      <c r="AD5" s="2175"/>
      <c r="AE5" s="2176"/>
      <c r="AF5" s="2176"/>
      <c r="AG5" s="2176"/>
      <c r="AH5" s="2176"/>
      <c r="AI5" s="2176"/>
      <c r="AJ5" s="2176"/>
      <c r="AK5" s="2176"/>
      <c r="AL5" s="2176"/>
      <c r="AM5" s="2176"/>
      <c r="AN5" s="2176"/>
      <c r="AO5" s="2176"/>
      <c r="AP5" s="2176"/>
      <c r="AQ5" s="2176"/>
      <c r="AR5" s="2176"/>
      <c r="AS5" s="2176"/>
      <c r="AT5" s="2176"/>
      <c r="AU5" s="2176"/>
      <c r="AV5" s="2176"/>
      <c r="AW5" s="2176"/>
      <c r="AX5" s="2176"/>
      <c r="AY5" s="2176"/>
      <c r="AZ5" s="2176"/>
      <c r="BA5" s="2176"/>
      <c r="BB5" s="2177"/>
      <c r="BC5" s="1303" t="s">
        <v>372</v>
      </c>
      <c r="BE5" s="425"/>
      <c r="BF5" s="425" t="str">
        <f t="shared" si="0"/>
        <v/>
      </c>
      <c r="BG5" s="425"/>
      <c r="BH5" s="425"/>
    </row>
    <row r="6" spans="1:60" s="1811" customFormat="1" ht="14.25" hidden="1" customHeight="1">
      <c r="A6" s="1262"/>
      <c r="B6" s="1262"/>
      <c r="C6" s="1262"/>
      <c r="D6" s="1262"/>
      <c r="E6" s="2147"/>
      <c r="F6" s="2147"/>
      <c r="G6" s="2147"/>
      <c r="H6" s="2147"/>
      <c r="I6" s="2148" t="str">
        <f>S5&amp;".1"</f>
        <v>.1</v>
      </c>
      <c r="J6" s="1262"/>
      <c r="K6" s="1262"/>
      <c r="L6" s="1265" t="s">
        <v>373</v>
      </c>
      <c r="M6" s="435"/>
      <c r="N6" s="435"/>
      <c r="O6" s="435"/>
      <c r="P6" s="2150">
        <v>1</v>
      </c>
      <c r="Q6" s="1393"/>
      <c r="R6" s="280"/>
      <c r="S6" s="951"/>
      <c r="T6" s="1301"/>
      <c r="U6" s="1302"/>
      <c r="V6" s="2176"/>
      <c r="W6" s="2176"/>
      <c r="X6" s="2176"/>
      <c r="Y6" s="2176"/>
      <c r="Z6" s="2176"/>
      <c r="AA6" s="2176"/>
      <c r="AB6" s="2176"/>
      <c r="AC6" s="2177"/>
      <c r="AD6" s="2175"/>
      <c r="AE6" s="2176"/>
      <c r="AF6" s="2176"/>
      <c r="AG6" s="2176"/>
      <c r="AH6" s="2176"/>
      <c r="AI6" s="2176"/>
      <c r="AJ6" s="2176"/>
      <c r="AK6" s="2176"/>
      <c r="AL6" s="2176"/>
      <c r="AM6" s="2176"/>
      <c r="AN6" s="2176"/>
      <c r="AO6" s="2176"/>
      <c r="AP6" s="2176"/>
      <c r="AQ6" s="2176"/>
      <c r="AR6" s="2176"/>
      <c r="AS6" s="2176"/>
      <c r="AT6" s="2176"/>
      <c r="AU6" s="2176"/>
      <c r="AV6" s="2176"/>
      <c r="AW6" s="2176"/>
      <c r="AX6" s="2176"/>
      <c r="AY6" s="2176"/>
      <c r="AZ6" s="2176"/>
      <c r="BA6" s="2176"/>
      <c r="BB6" s="2177"/>
      <c r="BC6" s="1303"/>
      <c r="BE6" s="425"/>
      <c r="BF6" s="425" t="str">
        <f t="shared" si="0"/>
        <v/>
      </c>
      <c r="BG6" s="425"/>
      <c r="BH6" s="425"/>
    </row>
    <row r="7" spans="1:60" s="1811" customFormat="1" ht="14.25" hidden="1" customHeight="1">
      <c r="A7" s="1262"/>
      <c r="B7" s="1262"/>
      <c r="C7" s="1262"/>
      <c r="D7" s="1262"/>
      <c r="E7" s="2147"/>
      <c r="F7" s="2147"/>
      <c r="G7" s="2147"/>
      <c r="H7" s="2147"/>
      <c r="I7" s="2149"/>
      <c r="J7" s="2148" t="str">
        <f>S5&amp;".1"</f>
        <v>.1</v>
      </c>
      <c r="K7" s="1262"/>
      <c r="L7" s="1265"/>
      <c r="M7" s="435"/>
      <c r="N7" s="435"/>
      <c r="O7" s="435"/>
      <c r="P7" s="2150"/>
      <c r="Q7" s="2150">
        <v>1</v>
      </c>
      <c r="R7" s="281"/>
      <c r="S7" s="951"/>
      <c r="T7" s="1317"/>
      <c r="U7" s="1302"/>
      <c r="V7" s="2176"/>
      <c r="W7" s="2176"/>
      <c r="X7" s="2176"/>
      <c r="Y7" s="2176"/>
      <c r="Z7" s="2176"/>
      <c r="AA7" s="2176"/>
      <c r="AB7" s="2176"/>
      <c r="AC7" s="2177"/>
      <c r="AD7" s="2175"/>
      <c r="AE7" s="2176"/>
      <c r="AF7" s="2176"/>
      <c r="AG7" s="2176"/>
      <c r="AH7" s="2176"/>
      <c r="AI7" s="2176"/>
      <c r="AJ7" s="2176"/>
      <c r="AK7" s="2176"/>
      <c r="AL7" s="2176"/>
      <c r="AM7" s="2176"/>
      <c r="AN7" s="2176"/>
      <c r="AO7" s="2176"/>
      <c r="AP7" s="2176"/>
      <c r="AQ7" s="2176"/>
      <c r="AR7" s="2176"/>
      <c r="AS7" s="2176"/>
      <c r="AT7" s="2176"/>
      <c r="AU7" s="2176"/>
      <c r="AV7" s="2176"/>
      <c r="AW7" s="2176"/>
      <c r="AX7" s="2176"/>
      <c r="AY7" s="2176"/>
      <c r="AZ7" s="2176"/>
      <c r="BA7" s="2176"/>
      <c r="BB7" s="2177"/>
      <c r="BC7" s="1303"/>
      <c r="BE7" s="425"/>
      <c r="BF7" s="425" t="str">
        <f t="shared" si="0"/>
        <v/>
      </c>
      <c r="BG7" s="425"/>
      <c r="BH7" s="425"/>
    </row>
    <row r="8" spans="1:60" ht="11.25" hidden="1" customHeight="1">
      <c r="A8" s="1281"/>
      <c r="B8" s="1281"/>
      <c r="C8" s="1281"/>
      <c r="D8" s="1281"/>
      <c r="E8" s="2147"/>
      <c r="F8" s="2147"/>
      <c r="G8" s="2147"/>
      <c r="H8" s="2147"/>
      <c r="I8" s="2149"/>
      <c r="J8" s="2149"/>
      <c r="K8" s="2148" t="e">
        <f>S4&amp;".1"</f>
        <v>#N/A</v>
      </c>
      <c r="L8" s="1282"/>
      <c r="P8" s="2150"/>
      <c r="Q8" s="2150"/>
      <c r="R8" s="2199">
        <v>1</v>
      </c>
      <c r="S8" s="2196" t="e">
        <f>$K8</f>
        <v>#N/A</v>
      </c>
      <c r="T8" s="2215"/>
      <c r="U8" s="217"/>
      <c r="V8" s="668"/>
      <c r="W8" s="1178"/>
      <c r="X8" s="668"/>
      <c r="Y8" s="1178"/>
      <c r="Z8" s="1646"/>
      <c r="AA8" s="1382" t="s">
        <v>50</v>
      </c>
      <c r="AB8" s="1646"/>
      <c r="AC8" s="1382" t="s">
        <v>50</v>
      </c>
      <c r="AD8" s="2089" t="s">
        <v>50</v>
      </c>
      <c r="AE8" s="2192"/>
      <c r="AF8" s="2102">
        <v>1</v>
      </c>
      <c r="AG8" s="2214"/>
      <c r="AH8" s="2029" t="s">
        <v>50</v>
      </c>
      <c r="AI8" s="2192"/>
      <c r="AJ8" s="2102">
        <v>1</v>
      </c>
      <c r="AK8" s="2213" t="s">
        <v>18</v>
      </c>
      <c r="AL8" s="2029" t="s">
        <v>50</v>
      </c>
      <c r="AM8" s="2077"/>
      <c r="AN8" s="2102">
        <v>1</v>
      </c>
      <c r="AO8" s="2218"/>
      <c r="AP8" s="2219" t="s">
        <v>50</v>
      </c>
      <c r="AQ8" s="230"/>
      <c r="AR8" s="1398">
        <v>1</v>
      </c>
      <c r="AS8" s="1404" t="s">
        <v>18</v>
      </c>
      <c r="AT8" s="668"/>
      <c r="AU8" s="1178"/>
      <c r="AV8" s="668"/>
      <c r="AW8" s="1178"/>
      <c r="AX8" s="1646"/>
      <c r="AY8" s="1382" t="s">
        <v>50</v>
      </c>
      <c r="AZ8" s="1646"/>
      <c r="BA8" s="1382" t="s">
        <v>50</v>
      </c>
      <c r="BB8" s="1267"/>
      <c r="BC8" s="2169" t="s">
        <v>469</v>
      </c>
      <c r="BE8" s="425"/>
      <c r="BF8" s="425" t="str">
        <f t="shared" si="0"/>
        <v/>
      </c>
      <c r="BG8" s="425"/>
      <c r="BH8" s="425"/>
    </row>
    <row r="9" spans="1:60" ht="11.25" hidden="1" customHeight="1">
      <c r="A9" s="1281"/>
      <c r="B9" s="1281"/>
      <c r="C9" s="1281"/>
      <c r="D9" s="1281"/>
      <c r="E9" s="2147"/>
      <c r="F9" s="2147"/>
      <c r="G9" s="2147"/>
      <c r="H9" s="2147"/>
      <c r="I9" s="2149"/>
      <c r="J9" s="2149"/>
      <c r="K9" s="2148"/>
      <c r="L9" s="1282"/>
      <c r="P9" s="2150"/>
      <c r="Q9" s="2150"/>
      <c r="R9" s="2199"/>
      <c r="S9" s="2197"/>
      <c r="T9" s="2216"/>
      <c r="U9" s="217"/>
      <c r="V9" s="1311"/>
      <c r="W9" s="1408"/>
      <c r="X9" s="1311"/>
      <c r="Y9" s="1408"/>
      <c r="Z9" s="1311"/>
      <c r="AA9" s="1311"/>
      <c r="AB9" s="1311"/>
      <c r="AC9" s="1311"/>
      <c r="AD9" s="2090"/>
      <c r="AE9" s="2192"/>
      <c r="AF9" s="2102"/>
      <c r="AG9" s="2214"/>
      <c r="AH9" s="2029"/>
      <c r="AI9" s="2192"/>
      <c r="AJ9" s="2102"/>
      <c r="AK9" s="2213"/>
      <c r="AL9" s="2029"/>
      <c r="AM9" s="2082"/>
      <c r="AN9" s="2102"/>
      <c r="AO9" s="2218"/>
      <c r="AP9" s="2220"/>
      <c r="AQ9" s="237"/>
      <c r="AR9" s="349"/>
      <c r="AS9" s="349" t="s">
        <v>470</v>
      </c>
      <c r="AT9" s="1311"/>
      <c r="AU9" s="1408"/>
      <c r="AV9" s="1311"/>
      <c r="AW9" s="1408"/>
      <c r="AX9" s="1311"/>
      <c r="AY9" s="1311"/>
      <c r="AZ9" s="1311"/>
      <c r="BA9" s="1311"/>
      <c r="BB9" s="1315"/>
      <c r="BC9" s="2170"/>
      <c r="BE9" s="425"/>
      <c r="BF9" s="425"/>
      <c r="BG9" s="425"/>
      <c r="BH9" s="425"/>
    </row>
    <row r="10" spans="1:60" ht="11.25" hidden="1" customHeight="1">
      <c r="A10" s="1281"/>
      <c r="B10" s="1281"/>
      <c r="C10" s="1281"/>
      <c r="D10" s="1281"/>
      <c r="E10" s="2147"/>
      <c r="F10" s="2147"/>
      <c r="G10" s="2147"/>
      <c r="H10" s="2147"/>
      <c r="I10" s="2149"/>
      <c r="J10" s="2149"/>
      <c r="K10" s="2148"/>
      <c r="L10" s="1282"/>
      <c r="P10" s="2150"/>
      <c r="Q10" s="2150"/>
      <c r="R10" s="2199"/>
      <c r="S10" s="2197"/>
      <c r="T10" s="2216"/>
      <c r="U10" s="217"/>
      <c r="V10" s="1311"/>
      <c r="W10" s="1408"/>
      <c r="X10" s="1311"/>
      <c r="Y10" s="1408"/>
      <c r="Z10" s="1311"/>
      <c r="AA10" s="1311"/>
      <c r="AB10" s="1311"/>
      <c r="AC10" s="1311"/>
      <c r="AD10" s="2090"/>
      <c r="AE10" s="2192"/>
      <c r="AF10" s="2102"/>
      <c r="AG10" s="2214"/>
      <c r="AH10" s="2029"/>
      <c r="AI10" s="2192"/>
      <c r="AJ10" s="2102"/>
      <c r="AK10" s="2213"/>
      <c r="AL10" s="2029"/>
      <c r="AM10" s="237"/>
      <c r="AN10" s="1412"/>
      <c r="AO10" s="1412" t="s">
        <v>471</v>
      </c>
      <c r="AP10" s="349"/>
      <c r="AQ10" s="349"/>
      <c r="AR10" s="349"/>
      <c r="AS10" s="1311"/>
      <c r="AT10" s="1311"/>
      <c r="AU10" s="1408"/>
      <c r="AV10" s="1311"/>
      <c r="AW10" s="1408"/>
      <c r="AX10" s="1311"/>
      <c r="AY10" s="1311"/>
      <c r="AZ10" s="1311"/>
      <c r="BA10" s="1311"/>
      <c r="BB10" s="1315"/>
      <c r="BC10" s="2170"/>
      <c r="BE10" s="425"/>
      <c r="BF10" s="425"/>
      <c r="BG10" s="425"/>
      <c r="BH10" s="425"/>
    </row>
    <row r="11" spans="1:60" ht="11.25" hidden="1" customHeight="1">
      <c r="A11" s="1281"/>
      <c r="B11" s="1281"/>
      <c r="C11" s="1281"/>
      <c r="D11" s="1281"/>
      <c r="E11" s="2147"/>
      <c r="F11" s="2147"/>
      <c r="G11" s="2147"/>
      <c r="H11" s="2147"/>
      <c r="I11" s="2149"/>
      <c r="J11" s="2149"/>
      <c r="K11" s="2148"/>
      <c r="L11" s="1282"/>
      <c r="P11" s="2150"/>
      <c r="Q11" s="2150"/>
      <c r="R11" s="2199"/>
      <c r="S11" s="2197"/>
      <c r="T11" s="2216"/>
      <c r="U11" s="217"/>
      <c r="V11" s="1311"/>
      <c r="W11" s="1408"/>
      <c r="X11" s="1311"/>
      <c r="Y11" s="1408"/>
      <c r="Z11" s="1311"/>
      <c r="AA11" s="1311"/>
      <c r="AB11" s="1311"/>
      <c r="AC11" s="1311"/>
      <c r="AD11" s="2090"/>
      <c r="AE11" s="2192"/>
      <c r="AF11" s="2102"/>
      <c r="AG11" s="2214"/>
      <c r="AH11" s="2029"/>
      <c r="AI11" s="211"/>
      <c r="AJ11" s="348"/>
      <c r="AK11" s="232" t="s">
        <v>472</v>
      </c>
      <c r="AL11" s="1311"/>
      <c r="AM11" s="1311"/>
      <c r="AN11" s="1311"/>
      <c r="AO11" s="1311"/>
      <c r="AP11" s="1311"/>
      <c r="AQ11" s="1311"/>
      <c r="AR11" s="1311"/>
      <c r="AS11" s="1311"/>
      <c r="AT11" s="1311"/>
      <c r="AU11" s="1408"/>
      <c r="AV11" s="1311"/>
      <c r="AW11" s="1408"/>
      <c r="AX11" s="1311"/>
      <c r="AY11" s="1311"/>
      <c r="AZ11" s="1311"/>
      <c r="BA11" s="1311"/>
      <c r="BB11" s="1315"/>
      <c r="BC11" s="2170"/>
      <c r="BE11" s="425"/>
      <c r="BF11" s="425"/>
      <c r="BG11" s="425"/>
      <c r="BH11" s="425"/>
    </row>
    <row r="12" spans="1:60" ht="11.25" hidden="1" customHeight="1">
      <c r="A12" s="1281"/>
      <c r="B12" s="1281"/>
      <c r="C12" s="1281"/>
      <c r="D12" s="1281"/>
      <c r="E12" s="2147"/>
      <c r="F12" s="2147"/>
      <c r="G12" s="2147"/>
      <c r="H12" s="2147"/>
      <c r="I12" s="2149"/>
      <c r="J12" s="2149"/>
      <c r="K12" s="2148"/>
      <c r="L12" s="1282"/>
      <c r="P12" s="2150"/>
      <c r="Q12" s="2150"/>
      <c r="R12" s="2199"/>
      <c r="S12" s="2198"/>
      <c r="T12" s="2217"/>
      <c r="U12" s="217"/>
      <c r="V12" s="1311"/>
      <c r="W12" s="1312" t="str">
        <f>Z8&amp;"-"&amp;AB8</f>
        <v>-</v>
      </c>
      <c r="X12" s="1311"/>
      <c r="Y12" s="1312" t="str">
        <f>AB8&amp;"-"&amp;AD8</f>
        <v>-да</v>
      </c>
      <c r="Z12" s="1311"/>
      <c r="AA12" s="1311"/>
      <c r="AB12" s="1311"/>
      <c r="AC12" s="1311"/>
      <c r="AD12" s="2034"/>
      <c r="AE12" s="231"/>
      <c r="AF12" s="233"/>
      <c r="AG12" s="349" t="s">
        <v>473</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170"/>
      <c r="BE12" s="425"/>
      <c r="BF12" s="425" t="str">
        <f t="shared" ref="BF12:BF18" si="1">IF(T12="","",T12)</f>
        <v/>
      </c>
      <c r="BG12" s="425"/>
      <c r="BH12" s="425"/>
    </row>
    <row r="13" spans="1:60" ht="11.25" hidden="1" customHeight="1">
      <c r="A13" s="1281"/>
      <c r="B13" s="1281"/>
      <c r="C13" s="1281"/>
      <c r="D13" s="1281"/>
      <c r="E13" s="2147"/>
      <c r="F13" s="2147"/>
      <c r="G13" s="2147"/>
      <c r="H13" s="2147"/>
      <c r="I13" s="2149"/>
      <c r="J13" s="2148"/>
      <c r="K13" s="1281"/>
      <c r="L13" s="1282"/>
      <c r="P13" s="2150"/>
      <c r="Q13" s="2150"/>
      <c r="R13" s="280"/>
      <c r="S13" s="1200"/>
      <c r="T13" s="204" t="s">
        <v>437</v>
      </c>
      <c r="U13" s="294"/>
      <c r="V13" s="294"/>
      <c r="W13" s="294"/>
      <c r="X13" s="294"/>
      <c r="Y13" s="294"/>
      <c r="Z13" s="294"/>
      <c r="AA13" s="294"/>
      <c r="AB13" s="294"/>
      <c r="AC13" s="294"/>
      <c r="AD13" s="1417"/>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48"/>
      <c r="BC13" s="2171"/>
      <c r="BE13" s="425"/>
      <c r="BF13" s="425" t="str">
        <f t="shared" si="1"/>
        <v>Добавить строку</v>
      </c>
      <c r="BG13" s="425"/>
      <c r="BH13" s="425"/>
    </row>
    <row r="14" spans="1:60" s="1811" customFormat="1" ht="14.25" hidden="1" customHeight="1">
      <c r="A14" s="1262"/>
      <c r="B14" s="1262"/>
      <c r="C14" s="1262"/>
      <c r="D14" s="1262"/>
      <c r="E14" s="2147"/>
      <c r="F14" s="2147"/>
      <c r="G14" s="2147"/>
      <c r="H14" s="2147"/>
      <c r="I14" s="2148"/>
      <c r="J14" s="1262"/>
      <c r="K14" s="1262"/>
      <c r="L14" s="1265"/>
      <c r="M14" s="435"/>
      <c r="N14" s="435"/>
      <c r="O14" s="435"/>
      <c r="P14" s="2150"/>
      <c r="Q14" s="1393"/>
      <c r="R14" s="280"/>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25"/>
      <c r="BF14" s="425" t="str">
        <f t="shared" si="1"/>
        <v/>
      </c>
      <c r="BG14" s="425"/>
      <c r="BH14" s="425"/>
    </row>
    <row r="15" spans="1:60" s="1811" customFormat="1" ht="14.25" hidden="1" customHeight="1">
      <c r="A15" s="1262"/>
      <c r="B15" s="1262"/>
      <c r="C15" s="1262"/>
      <c r="D15" s="1262"/>
      <c r="E15" s="2147"/>
      <c r="F15" s="2147"/>
      <c r="G15" s="2147"/>
      <c r="H15" s="2146"/>
      <c r="I15" s="1262"/>
      <c r="J15" s="1262"/>
      <c r="K15" s="1262"/>
      <c r="L15" s="1265"/>
      <c r="M15" s="1235"/>
      <c r="N15" s="1235"/>
      <c r="O15" s="443"/>
      <c r="P15" s="312"/>
      <c r="Q15" s="1263"/>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25"/>
      <c r="BF15" s="425" t="str">
        <f t="shared" si="1"/>
        <v/>
      </c>
      <c r="BG15" s="425"/>
      <c r="BH15" s="425"/>
    </row>
    <row r="16" spans="1:60" s="1881" customFormat="1" ht="14.25" hidden="1" customHeight="1">
      <c r="A16" s="1262"/>
      <c r="B16" s="1262"/>
      <c r="C16" s="1262"/>
      <c r="D16" s="1234"/>
      <c r="E16" s="2147"/>
      <c r="F16" s="2147"/>
      <c r="G16" s="2146"/>
      <c r="H16" s="1234"/>
      <c r="I16" s="1234"/>
      <c r="J16" s="1234"/>
      <c r="K16" s="1234"/>
      <c r="L16" s="1406"/>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07"/>
      <c r="BF16" s="707" t="str">
        <f t="shared" si="1"/>
        <v/>
      </c>
      <c r="BG16" s="707"/>
      <c r="BH16" s="707"/>
    </row>
    <row r="17" spans="1:60" s="1881" customFormat="1" ht="14.25" hidden="1" customHeight="1">
      <c r="A17" s="1262"/>
      <c r="B17" s="1262"/>
      <c r="C17" s="1234"/>
      <c r="D17" s="1234"/>
      <c r="E17" s="2147"/>
      <c r="F17" s="2146"/>
      <c r="G17" s="1234"/>
      <c r="H17" s="1234"/>
      <c r="I17" s="1234"/>
      <c r="J17" s="1234"/>
      <c r="K17" s="1234"/>
      <c r="L17" s="1406"/>
      <c r="M17" s="1241"/>
      <c r="N17" s="1241"/>
      <c r="P17" s="1236"/>
      <c r="Q17" s="1237"/>
      <c r="R17" s="1236"/>
      <c r="S17" s="1242"/>
      <c r="T17" s="1245" t="s">
        <v>385</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07"/>
      <c r="BF17" s="707" t="str">
        <f t="shared" si="1"/>
        <v>Добавить централизованную систему для дифференциации</v>
      </c>
      <c r="BG17" s="707"/>
      <c r="BH17" s="707"/>
    </row>
    <row r="18" spans="1:60" s="1811" customFormat="1" ht="14.25" hidden="1" customHeight="1">
      <c r="A18" s="1262"/>
      <c r="B18" s="1262"/>
      <c r="C18" s="1262"/>
      <c r="D18" s="1262"/>
      <c r="E18" s="2146"/>
      <c r="F18" s="1262"/>
      <c r="G18" s="1262"/>
      <c r="H18" s="1262"/>
      <c r="I18" s="1262"/>
      <c r="J18" s="1262"/>
      <c r="K18" s="1262"/>
      <c r="L18" s="1265"/>
      <c r="M18" s="1241"/>
      <c r="N18" s="1241"/>
      <c r="O18" s="443"/>
      <c r="P18" s="312"/>
      <c r="Q18" s="1263"/>
      <c r="R18" s="312"/>
      <c r="S18" s="1242"/>
      <c r="T18" s="1245" t="s">
        <v>386</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25"/>
      <c r="BF18" s="425" t="str">
        <f t="shared" si="1"/>
        <v>Добавить территорию для дифференциации</v>
      </c>
      <c r="BG18" s="425"/>
      <c r="BH18" s="425"/>
    </row>
    <row r="19" spans="1:60" ht="14.25" hidden="1" customHeight="1">
      <c r="AC19" s="252"/>
      <c r="BA19" s="252"/>
    </row>
    <row r="20" spans="1:60" ht="14.25" hidden="1" customHeight="1">
      <c r="AD20" s="1244" t="s">
        <v>48</v>
      </c>
      <c r="AE20" s="1413"/>
      <c r="AF20" s="472">
        <v>1</v>
      </c>
      <c r="AG20" s="1414"/>
      <c r="AH20" s="1244" t="s">
        <v>48</v>
      </c>
      <c r="AI20" s="1413"/>
      <c r="AJ20" s="472">
        <v>1</v>
      </c>
      <c r="AK20" s="1414"/>
      <c r="AL20" s="1244" t="s">
        <v>48</v>
      </c>
      <c r="AM20" s="1415"/>
      <c r="AN20" s="472">
        <v>1</v>
      </c>
      <c r="AO20" s="1416"/>
      <c r="AP20" s="1244" t="s">
        <v>48</v>
      </c>
      <c r="AQ20" s="1415"/>
      <c r="AR20" s="472">
        <v>1</v>
      </c>
      <c r="AS20" s="1416"/>
      <c r="AT20" s="249"/>
      <c r="AU20" s="317"/>
      <c r="AV20" s="249"/>
      <c r="AW20" s="317"/>
      <c r="AX20" s="1648"/>
      <c r="AY20" s="1397" t="s">
        <v>50</v>
      </c>
      <c r="AZ20" s="1648"/>
      <c r="BA20" s="1397" t="s">
        <v>50</v>
      </c>
    </row>
    <row r="21" spans="1:60" ht="14.25" hidden="1" customHeight="1">
      <c r="BD21" s="421"/>
      <c r="BE21" s="421"/>
      <c r="BF21" s="421"/>
      <c r="BG21" s="421"/>
      <c r="BH21" s="421"/>
    </row>
    <row r="22" spans="1:60" ht="14.25" hidden="1" customHeight="1">
      <c r="O22" s="1285" t="s">
        <v>387</v>
      </c>
      <c r="Z22" s="1264"/>
      <c r="AB22" s="1264"/>
      <c r="AC22" s="252"/>
      <c r="AX22" s="1264"/>
      <c r="AZ22" s="1264"/>
      <c r="BA22" s="252"/>
      <c r="BD22" s="421"/>
      <c r="BE22" s="421"/>
      <c r="BF22" s="421"/>
      <c r="BG22" s="421"/>
      <c r="BH22" s="421"/>
    </row>
    <row r="23" spans="1:60" ht="14.25" hidden="1" customHeight="1">
      <c r="AC23" s="252"/>
      <c r="BA23" s="252"/>
      <c r="BD23" s="421"/>
      <c r="BE23" s="421"/>
      <c r="BF23" s="421"/>
      <c r="BG23" s="421"/>
      <c r="BH23" s="421"/>
    </row>
    <row r="24" spans="1:60" s="1895" customFormat="1" ht="14.25" hidden="1" customHeight="1">
      <c r="M24" s="1420"/>
      <c r="N24" s="1420"/>
      <c r="O24" s="1421" t="s">
        <v>388</v>
      </c>
      <c r="P24" s="1420"/>
      <c r="Q24" s="1422"/>
      <c r="R24" s="1422"/>
      <c r="AA24" s="1419" t="s">
        <v>390</v>
      </c>
      <c r="AC24" s="1419" t="s">
        <v>391</v>
      </c>
      <c r="AD24" s="1419" t="s">
        <v>438</v>
      </c>
      <c r="AH24" s="1419" t="s">
        <v>438</v>
      </c>
      <c r="AK24" s="1419" t="s">
        <v>474</v>
      </c>
      <c r="AL24" s="1419" t="s">
        <v>438</v>
      </c>
      <c r="AP24" s="1419" t="s">
        <v>438</v>
      </c>
      <c r="AY24" s="1419" t="s">
        <v>390</v>
      </c>
      <c r="BA24" s="1419" t="s">
        <v>391</v>
      </c>
      <c r="BD24" s="1423"/>
      <c r="BE24" s="1423"/>
      <c r="BF24" s="1423"/>
      <c r="BG24" s="1423"/>
      <c r="BH24" s="1423"/>
    </row>
    <row r="25" spans="1:60" ht="14.25" hidden="1" customHeight="1">
      <c r="O25" s="1282"/>
      <c r="BD25" s="421"/>
      <c r="BE25" s="421"/>
      <c r="BF25" s="421"/>
      <c r="BG25" s="421"/>
      <c r="BH25" s="421"/>
    </row>
    <row r="26" spans="1:60" ht="14.25" hidden="1" customHeight="1">
      <c r="O26" s="1282"/>
      <c r="BD26" s="421"/>
      <c r="BE26" s="421"/>
      <c r="BF26" s="421"/>
      <c r="BG26" s="421"/>
      <c r="BH26" s="421"/>
    </row>
    <row r="27" spans="1:60" ht="14.25" customHeight="1">
      <c r="Q27" s="208"/>
      <c r="R27" s="304"/>
      <c r="S27" s="1197"/>
      <c r="T27" s="289"/>
      <c r="U27" s="289"/>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row>
    <row r="28" spans="1:60" ht="14.25" customHeight="1">
      <c r="Q28" s="208"/>
      <c r="R28" s="304"/>
      <c r="S28" s="2127"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27"/>
      <c r="U28" s="2127"/>
      <c r="V28" s="2127"/>
      <c r="W28" s="2127"/>
      <c r="X28" s="2127"/>
      <c r="Y28" s="2127"/>
      <c r="Z28" s="2127"/>
      <c r="AA28" s="2127"/>
      <c r="AB28" s="2127"/>
      <c r="AC28" s="2127"/>
      <c r="AD28" s="2127"/>
      <c r="AE28" s="2127"/>
      <c r="AF28" s="2127"/>
      <c r="AG28" s="2127"/>
      <c r="AH28" s="2127"/>
      <c r="AI28" s="2127"/>
      <c r="AJ28" s="2127"/>
      <c r="AK28" s="2127"/>
      <c r="AL28" s="2127"/>
      <c r="AM28" s="2127"/>
      <c r="AN28" s="2127"/>
      <c r="AO28" s="2127"/>
      <c r="AP28" s="2127"/>
      <c r="AQ28" s="2127"/>
      <c r="AR28" s="2127"/>
      <c r="AS28" s="2127"/>
      <c r="AT28" s="2127"/>
      <c r="AU28" s="2127"/>
      <c r="AV28" s="2127"/>
      <c r="AW28" s="2127"/>
      <c r="AX28" s="2127"/>
      <c r="AY28" s="2127"/>
      <c r="AZ28" s="2127"/>
      <c r="BA28" s="1154"/>
    </row>
    <row r="29" spans="1:60" ht="14.25" customHeight="1">
      <c r="Q29" s="208"/>
      <c r="R29" s="304"/>
      <c r="S29" s="2098" t="str">
        <f>IF(org=0,"Не определено",org)</f>
        <v>ООО "Горводоканал"</v>
      </c>
      <c r="T29" s="2098"/>
      <c r="U29" s="2098"/>
      <c r="V29" s="2098"/>
      <c r="W29" s="2098"/>
      <c r="X29" s="2098"/>
      <c r="Y29" s="2098"/>
      <c r="Z29" s="2098"/>
      <c r="AA29" s="2098"/>
      <c r="AB29" s="2098"/>
      <c r="AC29" s="2098"/>
      <c r="AD29" s="2098"/>
      <c r="AE29" s="2098"/>
      <c r="AF29" s="2098"/>
      <c r="AG29" s="2098"/>
      <c r="AH29" s="2098"/>
      <c r="AI29" s="2098"/>
      <c r="AJ29" s="2098"/>
      <c r="AK29" s="2098"/>
      <c r="AL29" s="2098"/>
      <c r="AM29" s="2098"/>
      <c r="AN29" s="2098"/>
      <c r="AO29" s="2098"/>
      <c r="AP29" s="2098"/>
      <c r="AQ29" s="2098"/>
      <c r="AR29" s="2098"/>
      <c r="AS29" s="2098"/>
      <c r="AT29" s="2098"/>
      <c r="AU29" s="2098"/>
      <c r="AV29" s="2098"/>
      <c r="AW29" s="2098"/>
      <c r="AX29" s="2098"/>
      <c r="AY29" s="2098"/>
      <c r="AZ29" s="2098"/>
      <c r="BA29" s="1154"/>
    </row>
    <row r="30" spans="1:60" ht="14.25" hidden="1" customHeight="1">
      <c r="Q30" s="208"/>
      <c r="R30" s="304"/>
      <c r="S30" s="1197"/>
      <c r="T30" s="289"/>
      <c r="U30" s="289"/>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434"/>
    </row>
    <row r="31" spans="1:60" s="1887" customFormat="1" ht="25.5" hidden="1" customHeight="1">
      <c r="A31" s="1286"/>
      <c r="B31" s="1286"/>
      <c r="C31" s="1286"/>
      <c r="D31" s="1286"/>
      <c r="E31" s="1286"/>
      <c r="F31" s="1286"/>
      <c r="G31" s="1286"/>
      <c r="H31" s="1286"/>
      <c r="I31" s="1286"/>
      <c r="J31" s="1286"/>
      <c r="K31" s="1286"/>
      <c r="L31" s="1287"/>
      <c r="M31" s="1286"/>
      <c r="N31" s="1286"/>
      <c r="O31" s="1286"/>
      <c r="P31" s="1286"/>
      <c r="Q31" s="1286"/>
      <c r="S31" s="2137" t="s">
        <v>37</v>
      </c>
      <c r="T31" s="2137"/>
      <c r="U31" s="1290"/>
      <c r="V31" s="2139" t="str">
        <f>IF(TITLE_NAME_OR_PR_CHANGE="",IF(TITLE_NAME_OR_PR="","",TITLE_NAME_OR_PR),TITLE_NAME_OR_PR_CHANGE)</f>
        <v/>
      </c>
      <c r="W31" s="2139"/>
      <c r="X31" s="2139"/>
      <c r="Y31" s="2139"/>
      <c r="Z31" s="2139"/>
      <c r="AA31" s="2139"/>
      <c r="AB31" s="2139"/>
      <c r="AC31" s="251"/>
      <c r="AD31" s="2139" t="str">
        <f>IF(TITLE_NAME_OR_PR_CHANGE="",IF(TITLE_NAME_OR_PR="","",TITLE_NAME_OR_PR),TITLE_NAME_OR_PR_CHANGE)</f>
        <v/>
      </c>
      <c r="AE31" s="2139"/>
      <c r="AF31" s="2139"/>
      <c r="AG31" s="2139"/>
      <c r="AH31" s="2139"/>
      <c r="AI31" s="2139"/>
      <c r="AJ31" s="2139"/>
      <c r="AK31" s="2139"/>
      <c r="AL31" s="2139"/>
      <c r="AM31" s="2139"/>
      <c r="AN31" s="2139"/>
      <c r="AO31" s="2139"/>
      <c r="AP31" s="2139"/>
      <c r="AQ31" s="2139"/>
      <c r="AR31" s="2139"/>
      <c r="AS31" s="2139"/>
      <c r="AT31" s="2139"/>
      <c r="AU31" s="2139"/>
      <c r="AV31" s="2139"/>
      <c r="AW31" s="2139"/>
      <c r="AX31" s="2139"/>
      <c r="AY31" s="2139"/>
      <c r="AZ31" s="2139"/>
      <c r="BA31" s="251"/>
      <c r="BB31" s="251"/>
      <c r="BC31" s="198"/>
      <c r="BD31" s="295"/>
      <c r="BE31" s="295"/>
      <c r="BF31" s="295"/>
      <c r="BG31" s="295"/>
      <c r="BH31" s="295"/>
    </row>
    <row r="32" spans="1:60"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7" t="s">
        <v>393</v>
      </c>
      <c r="T32" s="2137"/>
      <c r="U32" s="1290"/>
      <c r="V32" s="2138" t="str">
        <f>IF(TITLE_DATE_PR_CHANGE="",IF(TITLE_DATE_PR="","",TITLE_DATE_PR),TITLE_DATE_PR_CHANGE)</f>
        <v/>
      </c>
      <c r="W32" s="2138"/>
      <c r="X32" s="2138"/>
      <c r="Y32" s="2138"/>
      <c r="Z32" s="2138"/>
      <c r="AA32" s="2138"/>
      <c r="AB32" s="2138"/>
      <c r="AC32" s="251"/>
      <c r="AD32" s="2138" t="str">
        <f>IF(TITLE_DATE_PR_CHANGE="",IF(TITLE_DATE_PR="","",TITLE_DATE_PR),TITLE_DATE_PR_CHANGE)</f>
        <v/>
      </c>
      <c r="AE32" s="2138"/>
      <c r="AF32" s="2138"/>
      <c r="AG32" s="2138"/>
      <c r="AH32" s="2138"/>
      <c r="AI32" s="2138"/>
      <c r="AJ32" s="2138"/>
      <c r="AK32" s="2138"/>
      <c r="AL32" s="2138"/>
      <c r="AM32" s="2138"/>
      <c r="AN32" s="2138"/>
      <c r="AO32" s="2138"/>
      <c r="AP32" s="2138"/>
      <c r="AQ32" s="2138"/>
      <c r="AR32" s="2138"/>
      <c r="AS32" s="2138"/>
      <c r="AT32" s="2138"/>
      <c r="AU32" s="2138"/>
      <c r="AV32" s="2138"/>
      <c r="AW32" s="2138"/>
      <c r="AX32" s="2138"/>
      <c r="AY32" s="2138"/>
      <c r="AZ32" s="2138"/>
      <c r="BA32" s="251"/>
      <c r="BB32" s="251"/>
      <c r="BC32" s="198"/>
      <c r="BD32" s="295"/>
      <c r="BE32" s="295"/>
      <c r="BF32" s="295"/>
      <c r="BG32" s="295"/>
      <c r="BH32" s="295"/>
    </row>
    <row r="33" spans="1:60"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7" t="s">
        <v>394</v>
      </c>
      <c r="T33" s="2137"/>
      <c r="U33" s="1290"/>
      <c r="V33" s="2139" t="str">
        <f>IF(TITLE_NUMBER_PR_CHANGE="",IF(TITLE_NUMBER_PR="","",TITLE_NUMBER_PR),TITLE_NUMBER_PR_CHANGE)</f>
        <v/>
      </c>
      <c r="W33" s="2139"/>
      <c r="X33" s="2139"/>
      <c r="Y33" s="2139"/>
      <c r="Z33" s="2139"/>
      <c r="AA33" s="2139"/>
      <c r="AB33" s="2139"/>
      <c r="AC33" s="251"/>
      <c r="AD33" s="2139" t="str">
        <f>IF(TITLE_NUMBER_PR_CHANGE="",IF(TITLE_NUMBER_PR="","",TITLE_NUMBER_PR),TITLE_NUMBER_PR_CHANGE)</f>
        <v/>
      </c>
      <c r="AE33" s="2139"/>
      <c r="AF33" s="2139"/>
      <c r="AG33" s="2139"/>
      <c r="AH33" s="2139"/>
      <c r="AI33" s="2139"/>
      <c r="AJ33" s="2139"/>
      <c r="AK33" s="2139"/>
      <c r="AL33" s="2139"/>
      <c r="AM33" s="2139"/>
      <c r="AN33" s="2139"/>
      <c r="AO33" s="2139"/>
      <c r="AP33" s="2139"/>
      <c r="AQ33" s="2139"/>
      <c r="AR33" s="2139"/>
      <c r="AS33" s="2139"/>
      <c r="AT33" s="2139"/>
      <c r="AU33" s="2139"/>
      <c r="AV33" s="2139"/>
      <c r="AW33" s="2139"/>
      <c r="AX33" s="2139"/>
      <c r="AY33" s="2139"/>
      <c r="AZ33" s="2139"/>
      <c r="BA33" s="251"/>
      <c r="BB33" s="251"/>
      <c r="BC33" s="198"/>
      <c r="BD33" s="295"/>
      <c r="BE33" s="295"/>
      <c r="BF33" s="295"/>
      <c r="BG33" s="295"/>
      <c r="BH33" s="295"/>
    </row>
    <row r="34" spans="1:60" s="1887" customFormat="1" ht="18.75" hidden="1" customHeight="1">
      <c r="A34" s="1286"/>
      <c r="B34" s="1286"/>
      <c r="C34" s="1286"/>
      <c r="D34" s="1286"/>
      <c r="E34" s="1286"/>
      <c r="F34" s="1286"/>
      <c r="G34" s="1286"/>
      <c r="H34" s="1286"/>
      <c r="I34" s="1286"/>
      <c r="J34" s="1286"/>
      <c r="K34" s="1286"/>
      <c r="L34" s="1287"/>
      <c r="M34" s="1286"/>
      <c r="N34" s="1286"/>
      <c r="O34" s="1286"/>
      <c r="P34" s="1286"/>
      <c r="Q34" s="1286"/>
      <c r="S34" s="2137" t="s">
        <v>38</v>
      </c>
      <c r="T34" s="2137"/>
      <c r="U34" s="1290"/>
      <c r="V34" s="2139" t="str">
        <f>IF(TITLE_IST_PUB_CHANGE="",IF(TITLE_IST_PUB="","",TITLE_IST_PUB),TITLE_IST_PUB_CHANGE)</f>
        <v/>
      </c>
      <c r="W34" s="2139"/>
      <c r="X34" s="2139"/>
      <c r="Y34" s="2139"/>
      <c r="Z34" s="2139"/>
      <c r="AA34" s="2139"/>
      <c r="AB34" s="2139"/>
      <c r="AC34" s="251"/>
      <c r="AD34" s="2139" t="str">
        <f>IF(TITLE_IST_PUB_CHANGE="",IF(TITLE_IST_PUB="","",TITLE_IST_PUB),TITLE_IST_PUB_CHANGE)</f>
        <v/>
      </c>
      <c r="AE34" s="2139"/>
      <c r="AF34" s="2139"/>
      <c r="AG34" s="2139"/>
      <c r="AH34" s="2139"/>
      <c r="AI34" s="2139"/>
      <c r="AJ34" s="2139"/>
      <c r="AK34" s="2139"/>
      <c r="AL34" s="2139"/>
      <c r="AM34" s="2139"/>
      <c r="AN34" s="2139"/>
      <c r="AO34" s="2139"/>
      <c r="AP34" s="2139"/>
      <c r="AQ34" s="2139"/>
      <c r="AR34" s="2139"/>
      <c r="AS34" s="2139"/>
      <c r="AT34" s="2139"/>
      <c r="AU34" s="2139"/>
      <c r="AV34" s="2139"/>
      <c r="AW34" s="2139"/>
      <c r="AX34" s="2139"/>
      <c r="AY34" s="2139"/>
      <c r="AZ34" s="2139"/>
      <c r="BA34" s="251"/>
      <c r="BB34" s="251"/>
      <c r="BC34" s="198"/>
      <c r="BD34" s="295"/>
      <c r="BE34" s="295"/>
      <c r="BF34" s="295"/>
      <c r="BG34" s="295"/>
      <c r="BH34" s="295"/>
    </row>
    <row r="35" spans="1:60" ht="14.25" hidden="1" customHeight="1">
      <c r="Q35" s="208"/>
      <c r="R35" s="304"/>
      <c r="S35" s="1197"/>
      <c r="T35" s="289"/>
      <c r="U35" s="289"/>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434"/>
    </row>
    <row r="36" spans="1:60" s="1887" customFormat="1" ht="18.75" hidden="1" customHeight="1">
      <c r="A36" s="1286"/>
      <c r="B36" s="1286"/>
      <c r="C36" s="1286"/>
      <c r="D36" s="1286"/>
      <c r="E36" s="1286"/>
      <c r="F36" s="1286"/>
      <c r="G36" s="1286"/>
      <c r="H36" s="1286"/>
      <c r="I36" s="1286"/>
      <c r="J36" s="1286"/>
      <c r="K36" s="1286"/>
      <c r="L36" s="1287"/>
      <c r="M36" s="1286"/>
      <c r="N36" s="1286"/>
      <c r="O36" s="1286"/>
      <c r="P36" s="1286"/>
      <c r="Q36" s="1286"/>
      <c r="S36" s="2137" t="s">
        <v>393</v>
      </c>
      <c r="T36" s="2137"/>
      <c r="U36" s="1290"/>
      <c r="V36" s="2138" t="str">
        <f>IF(TITLE_DATE_PR_CHANGE="",IF(TITLE_DATE_PR="","",TITLE_DATE_PR),TITLE_DATE_PR_CHANGE)</f>
        <v/>
      </c>
      <c r="W36" s="2138"/>
      <c r="X36" s="2138"/>
      <c r="Y36" s="2138"/>
      <c r="Z36" s="2138"/>
      <c r="AA36" s="2138"/>
      <c r="AB36" s="2138"/>
      <c r="AC36" s="251"/>
      <c r="AD36" s="2138" t="str">
        <f>IF(TITLE_DATE_PR_CHANGE="",IF(TITLE_DATE_PR="","",TITLE_DATE_PR),TITLE_DATE_PR_CHANGE)</f>
        <v/>
      </c>
      <c r="AE36" s="2138"/>
      <c r="AF36" s="2138"/>
      <c r="AG36" s="2138"/>
      <c r="AH36" s="2138"/>
      <c r="AI36" s="2138"/>
      <c r="AJ36" s="2138"/>
      <c r="AK36" s="2138"/>
      <c r="AL36" s="2138"/>
      <c r="AM36" s="2138"/>
      <c r="AN36" s="2138"/>
      <c r="AO36" s="2138"/>
      <c r="AP36" s="2138"/>
      <c r="AQ36" s="2138"/>
      <c r="AR36" s="2138"/>
      <c r="AS36" s="2138"/>
      <c r="AT36" s="2138"/>
      <c r="AU36" s="2138"/>
      <c r="AV36" s="2138"/>
      <c r="AW36" s="2138"/>
      <c r="AX36" s="2138"/>
      <c r="AY36" s="2138"/>
      <c r="AZ36" s="2138"/>
      <c r="BA36" s="251"/>
      <c r="BB36" s="251"/>
      <c r="BC36" s="198"/>
      <c r="BD36" s="295"/>
      <c r="BE36" s="295"/>
      <c r="BF36" s="295"/>
      <c r="BG36" s="295"/>
      <c r="BH36" s="295"/>
    </row>
    <row r="37" spans="1:60" s="1887" customFormat="1" ht="18.75" hidden="1" customHeight="1">
      <c r="A37" s="1286"/>
      <c r="B37" s="1286"/>
      <c r="C37" s="1286"/>
      <c r="D37" s="1286"/>
      <c r="E37" s="1286"/>
      <c r="F37" s="1286"/>
      <c r="G37" s="1286"/>
      <c r="H37" s="1286"/>
      <c r="I37" s="1286"/>
      <c r="J37" s="1286"/>
      <c r="K37" s="1286"/>
      <c r="L37" s="1287"/>
      <c r="M37" s="1286"/>
      <c r="N37" s="1286"/>
      <c r="O37" s="1286"/>
      <c r="P37" s="1286"/>
      <c r="Q37" s="1286"/>
      <c r="S37" s="2137" t="s">
        <v>394</v>
      </c>
      <c r="T37" s="2137"/>
      <c r="U37" s="1290"/>
      <c r="V37" s="2139" t="str">
        <f>IF(TITLE_NUMBER_PR_CHANGE="",IF(TITLE_NUMBER_PR="","",TITLE_NUMBER_PR),TITLE_NUMBER_PR_CHANGE)</f>
        <v/>
      </c>
      <c r="W37" s="2139"/>
      <c r="X37" s="2139"/>
      <c r="Y37" s="2139"/>
      <c r="Z37" s="2139"/>
      <c r="AA37" s="2139"/>
      <c r="AB37" s="2139"/>
      <c r="AC37" s="251"/>
      <c r="AD37" s="2139" t="str">
        <f>IF(TITLE_NUMBER_PR_CHANGE="",IF(TITLE_NUMBER_PR="","",TITLE_NUMBER_PR),TITLE_NUMBER_PR_CHANGE)</f>
        <v/>
      </c>
      <c r="AE37" s="2139"/>
      <c r="AF37" s="2139"/>
      <c r="AG37" s="2139"/>
      <c r="AH37" s="2139"/>
      <c r="AI37" s="2139"/>
      <c r="AJ37" s="2139"/>
      <c r="AK37" s="2139"/>
      <c r="AL37" s="2139"/>
      <c r="AM37" s="2139"/>
      <c r="AN37" s="2139"/>
      <c r="AO37" s="2139"/>
      <c r="AP37" s="2139"/>
      <c r="AQ37" s="2139"/>
      <c r="AR37" s="2139"/>
      <c r="AS37" s="2139"/>
      <c r="AT37" s="2139"/>
      <c r="AU37" s="2139"/>
      <c r="AV37" s="2139"/>
      <c r="AW37" s="2139"/>
      <c r="AX37" s="2139"/>
      <c r="AY37" s="2139"/>
      <c r="AZ37" s="2139"/>
      <c r="BA37" s="251"/>
      <c r="BB37" s="251"/>
      <c r="BC37" s="198"/>
      <c r="BD37" s="295"/>
      <c r="BE37" s="295"/>
      <c r="BF37" s="295"/>
      <c r="BG37" s="295"/>
      <c r="BH37" s="295"/>
    </row>
    <row r="38" spans="1:60" s="1887" customFormat="1" ht="0" hidden="1" customHeight="1">
      <c r="A38" s="1286"/>
      <c r="B38" s="1286"/>
      <c r="C38" s="1286"/>
      <c r="D38" s="1286"/>
      <c r="E38" s="1286"/>
      <c r="F38" s="1286"/>
      <c r="G38" s="1286"/>
      <c r="H38" s="1286"/>
      <c r="I38" s="1286"/>
      <c r="J38" s="1286"/>
      <c r="K38" s="1286"/>
      <c r="L38" s="1287"/>
      <c r="M38" s="1286"/>
      <c r="N38" s="1286"/>
      <c r="O38" s="1286"/>
      <c r="P38" s="1286"/>
      <c r="Q38" s="1286"/>
      <c r="S38" s="247"/>
      <c r="T38" s="247"/>
      <c r="U38" s="1400"/>
      <c r="V38" s="251"/>
      <c r="W38" s="251"/>
      <c r="X38" s="251"/>
      <c r="Y38" s="251"/>
      <c r="Z38" s="251"/>
      <c r="AA38" s="251"/>
      <c r="AB38" s="251"/>
      <c r="AC38" s="196" t="s">
        <v>397</v>
      </c>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196" t="s">
        <v>397</v>
      </c>
      <c r="BD38" s="295"/>
      <c r="BE38" s="295"/>
      <c r="BF38" s="295"/>
      <c r="BG38" s="295"/>
      <c r="BH38" s="295"/>
    </row>
    <row r="39" spans="1:60" ht="14.25" customHeight="1">
      <c r="Q39" s="208"/>
      <c r="R39" s="304"/>
      <c r="S39" s="1197"/>
      <c r="T39" s="289"/>
      <c r="U39" s="1155"/>
      <c r="V39" s="2158"/>
      <c r="W39" s="2158"/>
      <c r="X39" s="2158"/>
      <c r="Y39" s="2158"/>
      <c r="Z39" s="2158"/>
      <c r="AA39" s="2158"/>
      <c r="AB39" s="2158"/>
      <c r="AC39" s="2158"/>
      <c r="AD39" s="2158"/>
      <c r="AE39" s="2158"/>
      <c r="AF39" s="2158"/>
      <c r="AG39" s="2158"/>
      <c r="AH39" s="2158"/>
      <c r="AI39" s="2158"/>
      <c r="AJ39" s="2158"/>
      <c r="AK39" s="2158"/>
      <c r="AL39" s="2158"/>
      <c r="AM39" s="2158"/>
      <c r="AN39" s="2158"/>
      <c r="AO39" s="2158"/>
      <c r="AP39" s="2158"/>
      <c r="AQ39" s="2158"/>
      <c r="AR39" s="2158"/>
      <c r="AS39" s="2158"/>
      <c r="AT39" s="2158"/>
      <c r="AU39" s="2158"/>
      <c r="AV39" s="2158"/>
      <c r="AW39" s="2158"/>
      <c r="AX39" s="2158"/>
      <c r="AY39" s="2158"/>
      <c r="AZ39" s="2158"/>
      <c r="BA39" s="2158"/>
    </row>
    <row r="40" spans="1:60" ht="14.25" customHeight="1">
      <c r="Q40" s="208"/>
      <c r="R40" s="304"/>
      <c r="S40" s="2019" t="s">
        <v>268</v>
      </c>
      <c r="T40" s="2019"/>
      <c r="U40" s="2019"/>
      <c r="V40" s="2019"/>
      <c r="W40" s="2019"/>
      <c r="X40" s="2019"/>
      <c r="Y40" s="2019"/>
      <c r="Z40" s="2019"/>
      <c r="AA40" s="2019"/>
      <c r="AB40" s="2019"/>
      <c r="AC40" s="2019"/>
      <c r="AD40" s="2019"/>
      <c r="AE40" s="2019"/>
      <c r="AF40" s="2019"/>
      <c r="AG40" s="2019"/>
      <c r="AH40" s="2019"/>
      <c r="AI40" s="2019"/>
      <c r="AJ40" s="2019"/>
      <c r="AK40" s="2019"/>
      <c r="AL40" s="2019"/>
      <c r="AM40" s="2019"/>
      <c r="AN40" s="2019"/>
      <c r="AO40" s="2019"/>
      <c r="AP40" s="2019"/>
      <c r="AQ40" s="2019"/>
      <c r="AR40" s="2019"/>
      <c r="AS40" s="2019"/>
      <c r="AT40" s="2019"/>
      <c r="AU40" s="2019"/>
      <c r="AV40" s="2019"/>
      <c r="AW40" s="2019"/>
      <c r="AX40" s="2019"/>
      <c r="AY40" s="2019"/>
      <c r="AZ40" s="2019"/>
      <c r="BA40" s="2019"/>
      <c r="BB40" s="2019"/>
      <c r="BC40" s="2019" t="s">
        <v>269</v>
      </c>
    </row>
    <row r="41" spans="1:60" ht="14.25" customHeight="1">
      <c r="Q41" s="208"/>
      <c r="R41" s="304"/>
      <c r="S41" s="2159" t="s">
        <v>73</v>
      </c>
      <c r="T41" s="2107" t="s">
        <v>475</v>
      </c>
      <c r="U41" s="218"/>
      <c r="V41" s="2160" t="s">
        <v>399</v>
      </c>
      <c r="W41" s="2161"/>
      <c r="X41" s="2161"/>
      <c r="Y41" s="2161"/>
      <c r="Z41" s="2161"/>
      <c r="AA41" s="2161"/>
      <c r="AB41" s="2162"/>
      <c r="AC41" s="2163" t="s">
        <v>400</v>
      </c>
      <c r="AD41" s="2185" t="s">
        <v>476</v>
      </c>
      <c r="AE41" s="2174"/>
      <c r="AF41" s="2174"/>
      <c r="AG41" s="2186"/>
      <c r="AH41" s="2185" t="s">
        <v>477</v>
      </c>
      <c r="AI41" s="2174"/>
      <c r="AJ41" s="2174"/>
      <c r="AK41" s="2186"/>
      <c r="AL41" s="2185" t="s">
        <v>478</v>
      </c>
      <c r="AM41" s="2174"/>
      <c r="AN41" s="2174"/>
      <c r="AO41" s="2186"/>
      <c r="AP41" s="2185" t="s">
        <v>479</v>
      </c>
      <c r="AQ41" s="2174"/>
      <c r="AR41" s="2174"/>
      <c r="AS41" s="2186"/>
      <c r="AT41" s="2160" t="s">
        <v>399</v>
      </c>
      <c r="AU41" s="2161"/>
      <c r="AV41" s="2161"/>
      <c r="AW41" s="2161"/>
      <c r="AX41" s="2161"/>
      <c r="AY41" s="2161"/>
      <c r="AZ41" s="2162"/>
      <c r="BA41" s="2163" t="s">
        <v>400</v>
      </c>
      <c r="BB41" s="2166" t="s">
        <v>402</v>
      </c>
      <c r="BC41" s="2019"/>
    </row>
    <row r="42" spans="1:60" ht="33.75" customHeight="1">
      <c r="Q42" s="208"/>
      <c r="R42" s="304"/>
      <c r="S42" s="2159"/>
      <c r="T42" s="2107"/>
      <c r="U42" s="940"/>
      <c r="V42" s="2077" t="s">
        <v>480</v>
      </c>
      <c r="W42" s="2078"/>
      <c r="X42" s="2077" t="s">
        <v>481</v>
      </c>
      <c r="Y42" s="2078"/>
      <c r="Z42" s="2077" t="s">
        <v>482</v>
      </c>
      <c r="AA42" s="2179"/>
      <c r="AB42" s="2078"/>
      <c r="AC42" s="2164"/>
      <c r="AD42" s="2187"/>
      <c r="AE42" s="2188"/>
      <c r="AF42" s="2188"/>
      <c r="AG42" s="2200"/>
      <c r="AH42" s="2187"/>
      <c r="AI42" s="2188"/>
      <c r="AJ42" s="2188"/>
      <c r="AK42" s="2200"/>
      <c r="AL42" s="2187"/>
      <c r="AM42" s="2188"/>
      <c r="AN42" s="2188"/>
      <c r="AO42" s="2200"/>
      <c r="AP42" s="2187"/>
      <c r="AQ42" s="2188"/>
      <c r="AR42" s="2188"/>
      <c r="AS42" s="2200"/>
      <c r="AT42" s="2077" t="s">
        <v>480</v>
      </c>
      <c r="AU42" s="2078"/>
      <c r="AV42" s="2077" t="s">
        <v>481</v>
      </c>
      <c r="AW42" s="2078"/>
      <c r="AX42" s="2077" t="s">
        <v>482</v>
      </c>
      <c r="AY42" s="2179"/>
      <c r="AZ42" s="2078"/>
      <c r="BA42" s="2164"/>
      <c r="BB42" s="2167"/>
      <c r="BC42" s="2019"/>
    </row>
    <row r="43" spans="1:60" ht="14.25" customHeight="1">
      <c r="Q43" s="208"/>
      <c r="R43" s="304"/>
      <c r="S43" s="2159"/>
      <c r="T43" s="2107"/>
      <c r="U43" s="940"/>
      <c r="V43" s="2082"/>
      <c r="W43" s="2083"/>
      <c r="X43" s="2082"/>
      <c r="Y43" s="2083"/>
      <c r="Z43" s="2082"/>
      <c r="AA43" s="2180"/>
      <c r="AB43" s="2083"/>
      <c r="AC43" s="2164"/>
      <c r="AD43" s="2187"/>
      <c r="AE43" s="2188"/>
      <c r="AF43" s="2188"/>
      <c r="AG43" s="2200"/>
      <c r="AH43" s="2187"/>
      <c r="AI43" s="2188"/>
      <c r="AJ43" s="2188"/>
      <c r="AK43" s="2200"/>
      <c r="AL43" s="2187"/>
      <c r="AM43" s="2188"/>
      <c r="AN43" s="2188"/>
      <c r="AO43" s="2200"/>
      <c r="AP43" s="2187"/>
      <c r="AQ43" s="2188"/>
      <c r="AR43" s="2188"/>
      <c r="AS43" s="2200"/>
      <c r="AT43" s="2082"/>
      <c r="AU43" s="2083"/>
      <c r="AV43" s="2082"/>
      <c r="AW43" s="2083"/>
      <c r="AX43" s="2082"/>
      <c r="AY43" s="2180"/>
      <c r="AZ43" s="2083"/>
      <c r="BA43" s="2164"/>
      <c r="BB43" s="2167"/>
      <c r="BC43" s="2019"/>
    </row>
    <row r="44" spans="1:60" ht="14.25" customHeight="1">
      <c r="A44" s="1288"/>
      <c r="B44" s="1288" t="s">
        <v>117</v>
      </c>
      <c r="C44" s="1288" t="s">
        <v>118</v>
      </c>
      <c r="D44" s="1288" t="s">
        <v>119</v>
      </c>
      <c r="E44" s="1282" t="s">
        <v>407</v>
      </c>
      <c r="F44" s="1282" t="s">
        <v>408</v>
      </c>
      <c r="G44" s="1282" t="s">
        <v>409</v>
      </c>
      <c r="H44" s="1282" t="s">
        <v>410</v>
      </c>
      <c r="I44" s="1282" t="s">
        <v>411</v>
      </c>
      <c r="J44" s="1282" t="s">
        <v>412</v>
      </c>
      <c r="K44" s="1282" t="s">
        <v>413</v>
      </c>
      <c r="L44" s="1282" t="s">
        <v>388</v>
      </c>
      <c r="Q44" s="208"/>
      <c r="R44" s="304"/>
      <c r="S44" s="2159"/>
      <c r="T44" s="2107"/>
      <c r="U44" s="219"/>
      <c r="V44" s="1391" t="s">
        <v>448</v>
      </c>
      <c r="W44" s="1391" t="s">
        <v>449</v>
      </c>
      <c r="X44" s="1391" t="s">
        <v>448</v>
      </c>
      <c r="Y44" s="1391" t="s">
        <v>449</v>
      </c>
      <c r="Z44" s="1401" t="s">
        <v>416</v>
      </c>
      <c r="AA44" s="2112" t="s">
        <v>417</v>
      </c>
      <c r="AB44" s="2126"/>
      <c r="AC44" s="2165"/>
      <c r="AD44" s="2189"/>
      <c r="AE44" s="2190"/>
      <c r="AF44" s="2190"/>
      <c r="AG44" s="2191"/>
      <c r="AH44" s="2189"/>
      <c r="AI44" s="2190"/>
      <c r="AJ44" s="2190"/>
      <c r="AK44" s="2191"/>
      <c r="AL44" s="2189"/>
      <c r="AM44" s="2190"/>
      <c r="AN44" s="2190"/>
      <c r="AO44" s="2191"/>
      <c r="AP44" s="2189"/>
      <c r="AQ44" s="2190"/>
      <c r="AR44" s="2190"/>
      <c r="AS44" s="2191"/>
      <c r="AT44" s="1391" t="s">
        <v>448</v>
      </c>
      <c r="AU44" s="1391" t="s">
        <v>449</v>
      </c>
      <c r="AV44" s="1391" t="s">
        <v>448</v>
      </c>
      <c r="AW44" s="1391" t="s">
        <v>449</v>
      </c>
      <c r="AX44" s="1401" t="s">
        <v>416</v>
      </c>
      <c r="AY44" s="2112" t="s">
        <v>417</v>
      </c>
      <c r="AZ44" s="2126"/>
      <c r="BA44" s="2165"/>
      <c r="BB44" s="2168"/>
      <c r="BC44" s="2019"/>
    </row>
    <row r="45" spans="1:60" s="1810" customFormat="1" ht="0" hidden="1" customHeight="1">
      <c r="A45" s="1288"/>
      <c r="B45" s="1288"/>
      <c r="C45" s="1288"/>
      <c r="D45" s="1288"/>
      <c r="E45" s="1288"/>
      <c r="F45" s="1288"/>
      <c r="G45" s="1288"/>
      <c r="H45" s="1288"/>
      <c r="I45" s="1288"/>
      <c r="J45" s="1288"/>
      <c r="K45" s="1288"/>
      <c r="L45" s="1282"/>
      <c r="M45" s="1280"/>
      <c r="N45" s="1280"/>
      <c r="O45" s="1280"/>
      <c r="P45" s="435"/>
      <c r="Q45" s="1173"/>
      <c r="R45" s="1173">
        <v>1</v>
      </c>
      <c r="S45" s="1199" t="s">
        <v>91</v>
      </c>
      <c r="T45" s="1174" t="s">
        <v>92</v>
      </c>
      <c r="U45" s="1156" t="str">
        <f ca="1">OFFSET(U45,0,-1)</f>
        <v>2</v>
      </c>
      <c r="V45" s="1394">
        <f t="shared" ref="V45:AA45" ca="1" si="2">OFFSET(V45,0,-1)+1</f>
        <v>3</v>
      </c>
      <c r="W45" s="1394">
        <f t="shared" ca="1" si="2"/>
        <v>4</v>
      </c>
      <c r="X45" s="1394">
        <f t="shared" ca="1" si="2"/>
        <v>5</v>
      </c>
      <c r="Y45" s="1394">
        <f t="shared" ca="1" si="2"/>
        <v>6</v>
      </c>
      <c r="Z45" s="1394">
        <f t="shared" ca="1" si="2"/>
        <v>7</v>
      </c>
      <c r="AA45" s="2157">
        <f t="shared" ca="1" si="2"/>
        <v>8</v>
      </c>
      <c r="AB45" s="2157"/>
      <c r="AC45" s="1394">
        <f ca="1">OFFSET(AC45,0,-2)+1</f>
        <v>9</v>
      </c>
      <c r="AD45" s="1394">
        <f ca="1">OFFSET(AD45,0,-1)+1</f>
        <v>10</v>
      </c>
      <c r="AE45" s="1394"/>
      <c r="AF45" s="1394"/>
      <c r="AG45" s="1394"/>
      <c r="AH45" s="1394"/>
      <c r="AI45" s="1394"/>
      <c r="AJ45" s="1394"/>
      <c r="AK45" s="1394"/>
      <c r="AL45" s="1394"/>
      <c r="AM45" s="1394"/>
      <c r="AN45" s="1394"/>
      <c r="AO45" s="1394"/>
      <c r="AP45" s="1394"/>
      <c r="AQ45" s="1394"/>
      <c r="AR45" s="1394"/>
      <c r="AS45" s="1394"/>
      <c r="AT45" s="1394"/>
      <c r="AU45" s="1394"/>
      <c r="AV45" s="1394"/>
      <c r="AW45" s="1394">
        <f ca="1">OFFSET(AW45,0,-1)+1</f>
        <v>1</v>
      </c>
      <c r="AX45" s="1394">
        <f ca="1">OFFSET(AX45,0,-1)+1</f>
        <v>2</v>
      </c>
      <c r="AY45" s="2157">
        <f ca="1">OFFSET(AY45,0,-1)+1</f>
        <v>3</v>
      </c>
      <c r="AZ45" s="2157"/>
      <c r="BA45" s="1394">
        <f ca="1">OFFSET(BA45,0,-2)+1</f>
        <v>4</v>
      </c>
      <c r="BB45" s="1156">
        <f ca="1">OFFSET(BB45,0,-1)</f>
        <v>4</v>
      </c>
      <c r="BC45" s="1394">
        <f ca="1">OFFSET(BC45,0,-1)+1</f>
        <v>5</v>
      </c>
      <c r="BD45" s="436"/>
      <c r="BE45" s="436"/>
      <c r="BF45" s="436"/>
      <c r="BG45" s="436"/>
      <c r="BH45" s="436"/>
    </row>
    <row r="46" spans="1:60" ht="21" customHeight="1">
      <c r="A46" s="1281" t="s">
        <v>229</v>
      </c>
      <c r="B46" s="1281"/>
      <c r="C46" s="1281"/>
      <c r="D46" s="1281"/>
      <c r="E46" s="2146">
        <v>1</v>
      </c>
      <c r="F46" s="1281"/>
      <c r="G46" s="1281"/>
      <c r="H46" s="1281"/>
      <c r="I46" s="1281"/>
      <c r="J46" s="1281"/>
      <c r="K46" s="1281"/>
      <c r="L46" s="1282"/>
      <c r="M46" s="1283"/>
      <c r="N46" s="1283"/>
      <c r="O46" s="1283"/>
      <c r="P46" s="1327"/>
      <c r="Q46" s="787"/>
      <c r="R46" s="279"/>
      <c r="S46" s="1405">
        <f>INDEX(PT_DIFFERENTIATION_NUM_NTAR,MATCH(A46,PT_DIFFERENTIATION_NTAR_ID,0))</f>
        <v>0</v>
      </c>
      <c r="T46" s="215" t="s">
        <v>105</v>
      </c>
      <c r="U46" s="217"/>
      <c r="V46" s="2141"/>
      <c r="W46" s="2141"/>
      <c r="X46" s="2141"/>
      <c r="Y46" s="2141"/>
      <c r="Z46" s="2141"/>
      <c r="AA46" s="2141"/>
      <c r="AB46" s="2141"/>
      <c r="AC46" s="2142"/>
      <c r="AD46" s="2140" t="str">
        <f>INDEX(PT_DIFFERENTIATION_NTAR,MATCH(A46,PT_DIFFERENTIATION_NTAR_ID,0))</f>
        <v/>
      </c>
      <c r="AE46" s="2141"/>
      <c r="AF46" s="2141"/>
      <c r="AG46" s="2141"/>
      <c r="AH46" s="2141"/>
      <c r="AI46" s="2141"/>
      <c r="AJ46" s="2141"/>
      <c r="AK46" s="2141"/>
      <c r="AL46" s="2141"/>
      <c r="AM46" s="2141"/>
      <c r="AN46" s="2141"/>
      <c r="AO46" s="2141"/>
      <c r="AP46" s="2141"/>
      <c r="AQ46" s="2141"/>
      <c r="AR46" s="2141"/>
      <c r="AS46" s="2141"/>
      <c r="AT46" s="2141"/>
      <c r="AU46" s="2141"/>
      <c r="AV46" s="2141"/>
      <c r="AW46" s="2141"/>
      <c r="AX46" s="2141"/>
      <c r="AY46" s="2141"/>
      <c r="AZ46" s="2141"/>
      <c r="BA46" s="2141"/>
      <c r="BB46" s="2142"/>
      <c r="BC46"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5"/>
      <c r="BF46" s="425" t="str">
        <f t="shared" ref="BF46:BF52" si="3">IF(T46="","",T46)</f>
        <v>Наименование тарифа</v>
      </c>
      <c r="BG46" s="425"/>
      <c r="BH46" s="425"/>
    </row>
    <row r="47" spans="1:60" ht="21" customHeight="1">
      <c r="A47" s="1281" t="s">
        <v>229</v>
      </c>
      <c r="B47" s="1281" t="s">
        <v>230</v>
      </c>
      <c r="C47" s="1281"/>
      <c r="D47" s="1281"/>
      <c r="E47" s="2147"/>
      <c r="F47" s="2146">
        <v>1</v>
      </c>
      <c r="G47" s="1281"/>
      <c r="H47" s="1281"/>
      <c r="I47" s="1281"/>
      <c r="J47" s="1281"/>
      <c r="K47" s="1281"/>
      <c r="L47" s="1282"/>
      <c r="M47" s="1283"/>
      <c r="N47" s="1283"/>
      <c r="O47" s="1283"/>
      <c r="P47" s="1328"/>
      <c r="Q47" s="1329"/>
      <c r="R47" s="277"/>
      <c r="S47" s="1405" t="str">
        <f>INDEX(PT_DIFFERENTIATION_NUM_TER,MATCH(B47,PT_DIFFERENTIATION_TER_ID,0))</f>
        <v>.</v>
      </c>
      <c r="T47" s="227" t="s">
        <v>367</v>
      </c>
      <c r="U47" s="217"/>
      <c r="V47" s="2141"/>
      <c r="W47" s="2141"/>
      <c r="X47" s="2141"/>
      <c r="Y47" s="2141"/>
      <c r="Z47" s="2141"/>
      <c r="AA47" s="2141"/>
      <c r="AB47" s="2141"/>
      <c r="AC47" s="2142"/>
      <c r="AD47" s="2140" t="str">
        <f>INDEX(PT_DIFFERENTIATION_TER,MATCH(B47,PT_DIFFERENTIATION_TER_ID,0))</f>
        <v/>
      </c>
      <c r="AE47" s="2141"/>
      <c r="AF47" s="2141"/>
      <c r="AG47" s="2141"/>
      <c r="AH47" s="2141"/>
      <c r="AI47" s="2141"/>
      <c r="AJ47" s="2141"/>
      <c r="AK47" s="2141"/>
      <c r="AL47" s="2141"/>
      <c r="AM47" s="2141"/>
      <c r="AN47" s="2141"/>
      <c r="AO47" s="2141"/>
      <c r="AP47" s="2141"/>
      <c r="AQ47" s="2141"/>
      <c r="AR47" s="2141"/>
      <c r="AS47" s="2141"/>
      <c r="AT47" s="2141"/>
      <c r="AU47" s="2141"/>
      <c r="AV47" s="2141"/>
      <c r="AW47" s="2141"/>
      <c r="AX47" s="2141"/>
      <c r="AY47" s="2141"/>
      <c r="AZ47" s="2141"/>
      <c r="BA47" s="2141"/>
      <c r="BB47" s="2142"/>
      <c r="BC47" s="1179" t="s">
        <v>368</v>
      </c>
      <c r="BE47" s="425"/>
      <c r="BF47" s="425" t="str">
        <f t="shared" si="3"/>
        <v>Территория действия тарифа</v>
      </c>
      <c r="BG47" s="425"/>
      <c r="BH47" s="425"/>
    </row>
    <row r="48" spans="1:60" ht="33.75" customHeight="1">
      <c r="A48" s="1281" t="s">
        <v>229</v>
      </c>
      <c r="B48" s="1281" t="s">
        <v>230</v>
      </c>
      <c r="C48" s="1281" t="s">
        <v>231</v>
      </c>
      <c r="D48" s="1281"/>
      <c r="E48" s="2147"/>
      <c r="F48" s="2147"/>
      <c r="G48" s="2146">
        <v>1</v>
      </c>
      <c r="H48" s="1281"/>
      <c r="I48" s="1281"/>
      <c r="J48" s="1281"/>
      <c r="K48" s="1281"/>
      <c r="L48" s="1282"/>
      <c r="M48" s="1283"/>
      <c r="N48" s="1283"/>
      <c r="O48" s="1283"/>
      <c r="P48" s="1330"/>
      <c r="Q48" s="1329"/>
      <c r="R48" s="277"/>
      <c r="S48" s="1405" t="str">
        <f>INDEX(PT_DIFFERENTIATION_NUM_CS,MATCH(C48,PT_DIFFERENTIATION_CS_ID,0))</f>
        <v>..</v>
      </c>
      <c r="T48" s="228" t="s">
        <v>498</v>
      </c>
      <c r="U48" s="217"/>
      <c r="V48" s="2141"/>
      <c r="W48" s="2141"/>
      <c r="X48" s="2141"/>
      <c r="Y48" s="2141"/>
      <c r="Z48" s="2141"/>
      <c r="AA48" s="2141"/>
      <c r="AB48" s="2141"/>
      <c r="AC48" s="2142"/>
      <c r="AD48" s="2140" t="str">
        <f>INDEX(PT_DIFFERENTIATION_CS,MATCH(C48,PT_DIFFERENTIATION_CS_ID,0))</f>
        <v/>
      </c>
      <c r="AE48" s="2141"/>
      <c r="AF48" s="2141"/>
      <c r="AG48" s="2141"/>
      <c r="AH48" s="2141"/>
      <c r="AI48" s="2141"/>
      <c r="AJ48" s="2141"/>
      <c r="AK48" s="2141"/>
      <c r="AL48" s="2141"/>
      <c r="AM48" s="2141"/>
      <c r="AN48" s="2141"/>
      <c r="AO48" s="2141"/>
      <c r="AP48" s="2141"/>
      <c r="AQ48" s="2141"/>
      <c r="AR48" s="2141"/>
      <c r="AS48" s="2141"/>
      <c r="AT48" s="2141"/>
      <c r="AU48" s="2141"/>
      <c r="AV48" s="2141"/>
      <c r="AW48" s="2141"/>
      <c r="AX48" s="2141"/>
      <c r="AY48" s="2141"/>
      <c r="AZ48" s="2141"/>
      <c r="BA48" s="2141"/>
      <c r="BB48" s="2142"/>
      <c r="BC48" s="1179" t="s">
        <v>499</v>
      </c>
      <c r="BE48" s="425"/>
      <c r="BF48" s="425" t="str">
        <f t="shared" si="3"/>
        <v>Наименование централизованной системы горячего водоснабжения</v>
      </c>
      <c r="BG48" s="425"/>
      <c r="BH48" s="425"/>
    </row>
    <row r="49" spans="1:60" s="1811" customFormat="1" ht="0" hidden="1" customHeight="1">
      <c r="A49" s="1262" t="s">
        <v>229</v>
      </c>
      <c r="B49" s="1262" t="s">
        <v>230</v>
      </c>
      <c r="C49" s="1262" t="s">
        <v>231</v>
      </c>
      <c r="D49" s="1262" t="s">
        <v>506</v>
      </c>
      <c r="E49" s="2147"/>
      <c r="F49" s="2147"/>
      <c r="G49" s="2147"/>
      <c r="H49" s="2146">
        <v>1</v>
      </c>
      <c r="I49" s="1262"/>
      <c r="J49" s="1262"/>
      <c r="K49" s="1262"/>
      <c r="L49" s="1265"/>
      <c r="M49" s="1235"/>
      <c r="N49" s="1235"/>
      <c r="O49" s="1235"/>
      <c r="P49" s="1409"/>
      <c r="Q49" s="1410"/>
      <c r="R49" s="281"/>
      <c r="S49" s="951"/>
      <c r="T49" s="1411"/>
      <c r="U49" s="1302"/>
      <c r="V49" s="2176"/>
      <c r="W49" s="2176"/>
      <c r="X49" s="2176"/>
      <c r="Y49" s="2176"/>
      <c r="Z49" s="2176"/>
      <c r="AA49" s="2176"/>
      <c r="AB49" s="2176"/>
      <c r="AC49" s="2177"/>
      <c r="AD49" s="2175"/>
      <c r="AE49" s="2176"/>
      <c r="AF49" s="2176"/>
      <c r="AG49" s="2176"/>
      <c r="AH49" s="2176"/>
      <c r="AI49" s="2176"/>
      <c r="AJ49" s="2176"/>
      <c r="AK49" s="2176"/>
      <c r="AL49" s="2176"/>
      <c r="AM49" s="2176"/>
      <c r="AN49" s="2176"/>
      <c r="AO49" s="2176"/>
      <c r="AP49" s="2176"/>
      <c r="AQ49" s="2176"/>
      <c r="AR49" s="2176"/>
      <c r="AS49" s="2176"/>
      <c r="AT49" s="2176"/>
      <c r="AU49" s="2176"/>
      <c r="AV49" s="2176"/>
      <c r="AW49" s="2176"/>
      <c r="AX49" s="2176"/>
      <c r="AY49" s="2176"/>
      <c r="AZ49" s="2176"/>
      <c r="BA49" s="2176"/>
      <c r="BB49" s="2177"/>
      <c r="BC49" s="1303" t="s">
        <v>372</v>
      </c>
      <c r="BE49" s="425"/>
      <c r="BF49" s="425" t="str">
        <f t="shared" si="3"/>
        <v/>
      </c>
      <c r="BG49" s="425"/>
      <c r="BH49" s="425"/>
    </row>
    <row r="50" spans="1:60" s="1811" customFormat="1" ht="0" hidden="1" customHeight="1">
      <c r="A50" s="1262" t="s">
        <v>229</v>
      </c>
      <c r="B50" s="1262" t="s">
        <v>230</v>
      </c>
      <c r="C50" s="1262" t="s">
        <v>231</v>
      </c>
      <c r="D50" s="1262" t="s">
        <v>506</v>
      </c>
      <c r="E50" s="2147"/>
      <c r="F50" s="2147"/>
      <c r="G50" s="2147"/>
      <c r="H50" s="2147"/>
      <c r="I50" s="2148" t="str">
        <f>S49&amp;".1"</f>
        <v>.1</v>
      </c>
      <c r="J50" s="1262"/>
      <c r="K50" s="1262"/>
      <c r="L50" s="1265" t="s">
        <v>373</v>
      </c>
      <c r="M50" s="435"/>
      <c r="N50" s="435"/>
      <c r="O50" s="435"/>
      <c r="P50" s="2150">
        <v>1</v>
      </c>
      <c r="Q50" s="1393"/>
      <c r="R50" s="280"/>
      <c r="S50" s="951"/>
      <c r="T50" s="1301"/>
      <c r="U50" s="1302"/>
      <c r="V50" s="2176"/>
      <c r="W50" s="2176"/>
      <c r="X50" s="2176"/>
      <c r="Y50" s="2176"/>
      <c r="Z50" s="2176"/>
      <c r="AA50" s="2176"/>
      <c r="AB50" s="2176"/>
      <c r="AC50" s="2177"/>
      <c r="AD50" s="2175"/>
      <c r="AE50" s="2176"/>
      <c r="AF50" s="2176"/>
      <c r="AG50" s="2176"/>
      <c r="AH50" s="2176"/>
      <c r="AI50" s="2176"/>
      <c r="AJ50" s="2176"/>
      <c r="AK50" s="2176"/>
      <c r="AL50" s="2176"/>
      <c r="AM50" s="2176"/>
      <c r="AN50" s="2176"/>
      <c r="AO50" s="2176"/>
      <c r="AP50" s="2176"/>
      <c r="AQ50" s="2176"/>
      <c r="AR50" s="2176"/>
      <c r="AS50" s="2176"/>
      <c r="AT50" s="2176"/>
      <c r="AU50" s="2176"/>
      <c r="AV50" s="2176"/>
      <c r="AW50" s="2176"/>
      <c r="AX50" s="2176"/>
      <c r="AY50" s="2176"/>
      <c r="AZ50" s="2176"/>
      <c r="BA50" s="2176"/>
      <c r="BB50" s="2177"/>
      <c r="BC50" s="1303"/>
      <c r="BE50" s="425"/>
      <c r="BF50" s="425" t="str">
        <f t="shared" si="3"/>
        <v/>
      </c>
      <c r="BG50" s="425"/>
      <c r="BH50" s="425"/>
    </row>
    <row r="51" spans="1:60" s="1811" customFormat="1" ht="0" hidden="1" customHeight="1">
      <c r="A51" s="1262" t="s">
        <v>229</v>
      </c>
      <c r="B51" s="1262" t="s">
        <v>230</v>
      </c>
      <c r="C51" s="1262" t="s">
        <v>231</v>
      </c>
      <c r="D51" s="1262" t="s">
        <v>506</v>
      </c>
      <c r="E51" s="2147"/>
      <c r="F51" s="2147"/>
      <c r="G51" s="2147"/>
      <c r="H51" s="2147"/>
      <c r="I51" s="2149"/>
      <c r="J51" s="2148" t="str">
        <f>S49&amp;".1"</f>
        <v>.1</v>
      </c>
      <c r="K51" s="1262"/>
      <c r="L51" s="1265"/>
      <c r="M51" s="435"/>
      <c r="N51" s="435"/>
      <c r="O51" s="435"/>
      <c r="P51" s="2150"/>
      <c r="Q51" s="2150">
        <v>1</v>
      </c>
      <c r="R51" s="281"/>
      <c r="S51" s="951"/>
      <c r="T51" s="1317"/>
      <c r="U51" s="1302"/>
      <c r="V51" s="2176"/>
      <c r="W51" s="2176"/>
      <c r="X51" s="2176"/>
      <c r="Y51" s="2176"/>
      <c r="Z51" s="2176"/>
      <c r="AA51" s="2176"/>
      <c r="AB51" s="2176"/>
      <c r="AC51" s="2177"/>
      <c r="AD51" s="2175"/>
      <c r="AE51" s="2176"/>
      <c r="AF51" s="2176"/>
      <c r="AG51" s="2176"/>
      <c r="AH51" s="2176"/>
      <c r="AI51" s="2176"/>
      <c r="AJ51" s="2176"/>
      <c r="AK51" s="2176"/>
      <c r="AL51" s="2176"/>
      <c r="AM51" s="2176"/>
      <c r="AN51" s="2221"/>
      <c r="AO51" s="2221"/>
      <c r="AP51" s="2176"/>
      <c r="AQ51" s="2176"/>
      <c r="AR51" s="2176"/>
      <c r="AS51" s="2176"/>
      <c r="AT51" s="2176"/>
      <c r="AU51" s="2176"/>
      <c r="AV51" s="2176"/>
      <c r="AW51" s="2176"/>
      <c r="AX51" s="2176"/>
      <c r="AY51" s="2176"/>
      <c r="AZ51" s="2176"/>
      <c r="BA51" s="2176"/>
      <c r="BB51" s="2177"/>
      <c r="BC51" s="1303"/>
      <c r="BE51" s="425"/>
      <c r="BF51" s="425" t="str">
        <f t="shared" si="3"/>
        <v/>
      </c>
      <c r="BG51" s="425"/>
      <c r="BH51" s="425"/>
    </row>
    <row r="52" spans="1:60" ht="11.25" customHeight="1">
      <c r="A52" s="1281" t="s">
        <v>229</v>
      </c>
      <c r="B52" s="1281" t="s">
        <v>230</v>
      </c>
      <c r="C52" s="1281" t="s">
        <v>231</v>
      </c>
      <c r="D52" s="1281" t="s">
        <v>506</v>
      </c>
      <c r="E52" s="2147"/>
      <c r="F52" s="2147"/>
      <c r="G52" s="2147"/>
      <c r="H52" s="2147"/>
      <c r="I52" s="2149"/>
      <c r="J52" s="2149"/>
      <c r="K52" s="2148" t="str">
        <f>S48&amp;".1"</f>
        <v>...1</v>
      </c>
      <c r="L52" s="1282"/>
      <c r="P52" s="2150"/>
      <c r="Q52" s="2150"/>
      <c r="R52" s="281">
        <v>1</v>
      </c>
      <c r="S52" s="2196" t="str">
        <f>$K52</f>
        <v>...1</v>
      </c>
      <c r="T52" s="2215"/>
      <c r="U52" s="217"/>
      <c r="V52" s="668"/>
      <c r="W52" s="1178"/>
      <c r="X52" s="668"/>
      <c r="Y52" s="1178"/>
      <c r="Z52" s="1646"/>
      <c r="AA52" s="1382" t="s">
        <v>50</v>
      </c>
      <c r="AB52" s="1646"/>
      <c r="AC52" s="1382" t="s">
        <v>50</v>
      </c>
      <c r="AD52" s="2089" t="s">
        <v>50</v>
      </c>
      <c r="AE52" s="2192"/>
      <c r="AF52" s="2102">
        <v>1</v>
      </c>
      <c r="AG52" s="2214"/>
      <c r="AH52" s="2029" t="s">
        <v>50</v>
      </c>
      <c r="AI52" s="2192"/>
      <c r="AJ52" s="2102">
        <v>1</v>
      </c>
      <c r="AK52" s="2213" t="s">
        <v>18</v>
      </c>
      <c r="AL52" s="2029" t="s">
        <v>50</v>
      </c>
      <c r="AM52" s="2077"/>
      <c r="AN52" s="2102">
        <v>1</v>
      </c>
      <c r="AO52" s="2218"/>
      <c r="AP52" s="2219" t="s">
        <v>50</v>
      </c>
      <c r="AQ52" s="230"/>
      <c r="AR52" s="1398">
        <v>1</v>
      </c>
      <c r="AS52" s="1404" t="s">
        <v>18</v>
      </c>
      <c r="AT52" s="668"/>
      <c r="AU52" s="1178"/>
      <c r="AV52" s="668"/>
      <c r="AW52" s="1178"/>
      <c r="AX52" s="1646"/>
      <c r="AY52" s="1382" t="s">
        <v>50</v>
      </c>
      <c r="AZ52" s="1646"/>
      <c r="BA52" s="1382" t="s">
        <v>50</v>
      </c>
      <c r="BB52" s="1267"/>
      <c r="BC52" s="2169" t="s">
        <v>469</v>
      </c>
      <c r="BE52" s="425"/>
      <c r="BF52" s="425" t="str">
        <f t="shared" si="3"/>
        <v/>
      </c>
      <c r="BG52" s="425"/>
      <c r="BH52" s="425"/>
    </row>
    <row r="53" spans="1:60" ht="11.25" customHeight="1">
      <c r="A53" s="1281"/>
      <c r="B53" s="1281"/>
      <c r="C53" s="1281"/>
      <c r="D53" s="1281"/>
      <c r="E53" s="2147"/>
      <c r="F53" s="2147"/>
      <c r="G53" s="2147"/>
      <c r="H53" s="2147"/>
      <c r="I53" s="2149"/>
      <c r="J53" s="2149"/>
      <c r="K53" s="2148"/>
      <c r="L53" s="1282"/>
      <c r="P53" s="2150"/>
      <c r="Q53" s="2150"/>
      <c r="R53" s="281"/>
      <c r="S53" s="2197"/>
      <c r="T53" s="2216"/>
      <c r="U53" s="217"/>
      <c r="V53" s="1311"/>
      <c r="W53" s="1408"/>
      <c r="X53" s="1311"/>
      <c r="Y53" s="1408"/>
      <c r="Z53" s="1311"/>
      <c r="AA53" s="1311"/>
      <c r="AB53" s="1311"/>
      <c r="AC53" s="1311"/>
      <c r="AD53" s="2090"/>
      <c r="AE53" s="2192"/>
      <c r="AF53" s="2102"/>
      <c r="AG53" s="2214"/>
      <c r="AH53" s="2029"/>
      <c r="AI53" s="2192"/>
      <c r="AJ53" s="2102"/>
      <c r="AK53" s="2213"/>
      <c r="AL53" s="2029"/>
      <c r="AM53" s="2082"/>
      <c r="AN53" s="2102"/>
      <c r="AO53" s="2218"/>
      <c r="AP53" s="2220"/>
      <c r="AQ53" s="237"/>
      <c r="AR53" s="349"/>
      <c r="AS53" s="349" t="s">
        <v>470</v>
      </c>
      <c r="AT53" s="1311"/>
      <c r="AU53" s="1408"/>
      <c r="AV53" s="1311"/>
      <c r="AW53" s="1408"/>
      <c r="AX53" s="1311"/>
      <c r="AY53" s="1311"/>
      <c r="AZ53" s="1311"/>
      <c r="BA53" s="1311"/>
      <c r="BB53" s="1315"/>
      <c r="BC53" s="2170"/>
      <c r="BE53" s="425"/>
      <c r="BF53" s="425"/>
      <c r="BG53" s="425"/>
      <c r="BH53" s="425"/>
    </row>
    <row r="54" spans="1:60" ht="11.25" customHeight="1">
      <c r="A54" s="1281" t="s">
        <v>229</v>
      </c>
      <c r="B54" s="1281"/>
      <c r="C54" s="1281"/>
      <c r="D54" s="1281"/>
      <c r="E54" s="2147"/>
      <c r="F54" s="2147"/>
      <c r="G54" s="2147"/>
      <c r="H54" s="2147"/>
      <c r="I54" s="2149"/>
      <c r="J54" s="2149"/>
      <c r="K54" s="2148"/>
      <c r="L54" s="1282"/>
      <c r="P54" s="2150"/>
      <c r="Q54" s="2150"/>
      <c r="R54" s="281"/>
      <c r="S54" s="2197"/>
      <c r="T54" s="2216"/>
      <c r="U54" s="217"/>
      <c r="V54" s="1311"/>
      <c r="W54" s="1408"/>
      <c r="X54" s="1311"/>
      <c r="Y54" s="1408"/>
      <c r="Z54" s="1311"/>
      <c r="AA54" s="1311"/>
      <c r="AB54" s="1311"/>
      <c r="AC54" s="1311"/>
      <c r="AD54" s="2090"/>
      <c r="AE54" s="2192"/>
      <c r="AF54" s="2102"/>
      <c r="AG54" s="2214"/>
      <c r="AH54" s="2029"/>
      <c r="AI54" s="2192"/>
      <c r="AJ54" s="2102"/>
      <c r="AK54" s="2213"/>
      <c r="AL54" s="2029"/>
      <c r="AM54" s="237"/>
      <c r="AN54" s="1412"/>
      <c r="AO54" s="1412" t="s">
        <v>471</v>
      </c>
      <c r="AP54" s="349"/>
      <c r="AQ54" s="349"/>
      <c r="AR54" s="349"/>
      <c r="AS54" s="1311"/>
      <c r="AT54" s="1311"/>
      <c r="AU54" s="1408"/>
      <c r="AV54" s="1311"/>
      <c r="AW54" s="1408"/>
      <c r="AX54" s="1311"/>
      <c r="AY54" s="1311"/>
      <c r="AZ54" s="1311"/>
      <c r="BA54" s="1311"/>
      <c r="BB54" s="1315"/>
      <c r="BC54" s="2170"/>
      <c r="BE54" s="425"/>
      <c r="BF54" s="425"/>
      <c r="BG54" s="425"/>
      <c r="BH54" s="425"/>
    </row>
    <row r="55" spans="1:60" ht="11.25" customHeight="1">
      <c r="A55" s="1281" t="s">
        <v>229</v>
      </c>
      <c r="B55" s="1281"/>
      <c r="C55" s="1281"/>
      <c r="D55" s="1281"/>
      <c r="E55" s="2147"/>
      <c r="F55" s="2147"/>
      <c r="G55" s="2147"/>
      <c r="H55" s="2147"/>
      <c r="I55" s="2149"/>
      <c r="J55" s="2149"/>
      <c r="K55" s="2148"/>
      <c r="L55" s="1282"/>
      <c r="P55" s="2150"/>
      <c r="Q55" s="2150"/>
      <c r="R55" s="281"/>
      <c r="S55" s="2197"/>
      <c r="T55" s="2216"/>
      <c r="U55" s="217"/>
      <c r="V55" s="1311"/>
      <c r="W55" s="1408"/>
      <c r="X55" s="1311"/>
      <c r="Y55" s="1408"/>
      <c r="Z55" s="1311"/>
      <c r="AA55" s="1311"/>
      <c r="AB55" s="1311"/>
      <c r="AC55" s="1311"/>
      <c r="AD55" s="2090"/>
      <c r="AE55" s="2192"/>
      <c r="AF55" s="2102"/>
      <c r="AG55" s="2214"/>
      <c r="AH55" s="2029"/>
      <c r="AI55" s="211"/>
      <c r="AJ55" s="348"/>
      <c r="AK55" s="232" t="s">
        <v>472</v>
      </c>
      <c r="AL55" s="1311"/>
      <c r="AM55" s="1311"/>
      <c r="AN55" s="1311"/>
      <c r="AO55" s="1311"/>
      <c r="AP55" s="1311"/>
      <c r="AQ55" s="1311"/>
      <c r="AR55" s="1311"/>
      <c r="AS55" s="1311"/>
      <c r="AT55" s="1311"/>
      <c r="AU55" s="1408"/>
      <c r="AV55" s="1311"/>
      <c r="AW55" s="1408"/>
      <c r="AX55" s="1311"/>
      <c r="AY55" s="1311"/>
      <c r="AZ55" s="1311"/>
      <c r="BA55" s="1311"/>
      <c r="BB55" s="1315"/>
      <c r="BC55" s="2170"/>
      <c r="BE55" s="425"/>
      <c r="BF55" s="425"/>
      <c r="BG55" s="425"/>
      <c r="BH55" s="425"/>
    </row>
    <row r="56" spans="1:60" ht="11.25" customHeight="1">
      <c r="A56" s="1281" t="s">
        <v>229</v>
      </c>
      <c r="B56" s="1281" t="s">
        <v>230</v>
      </c>
      <c r="C56" s="1281" t="s">
        <v>231</v>
      </c>
      <c r="D56" s="1281" t="s">
        <v>506</v>
      </c>
      <c r="E56" s="2147"/>
      <c r="F56" s="2147"/>
      <c r="G56" s="2147"/>
      <c r="H56" s="2147"/>
      <c r="I56" s="2149"/>
      <c r="J56" s="2149"/>
      <c r="K56" s="2148"/>
      <c r="L56" s="1282"/>
      <c r="P56" s="2150"/>
      <c r="Q56" s="2150"/>
      <c r="R56" s="281"/>
      <c r="S56" s="2198"/>
      <c r="T56" s="2217"/>
      <c r="U56" s="217"/>
      <c r="V56" s="1311"/>
      <c r="W56" s="1312" t="str">
        <f>Z52&amp;"-"&amp;AB52</f>
        <v>-</v>
      </c>
      <c r="X56" s="1311"/>
      <c r="Y56" s="1312" t="str">
        <f>AB52&amp;"-"&amp;AD52</f>
        <v>-да</v>
      </c>
      <c r="Z56" s="1311"/>
      <c r="AA56" s="1311"/>
      <c r="AB56" s="1311"/>
      <c r="AC56" s="1311"/>
      <c r="AD56" s="2034"/>
      <c r="AE56" s="231"/>
      <c r="AF56" s="233"/>
      <c r="AG56" s="349" t="s">
        <v>473</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170"/>
      <c r="BE56" s="425"/>
      <c r="BF56" s="425" t="str">
        <f t="shared" ref="BF56:BF63" si="4">IF(T56="","",T56)</f>
        <v/>
      </c>
      <c r="BG56" s="425"/>
      <c r="BH56" s="425"/>
    </row>
    <row r="57" spans="1:60" ht="11.25" customHeight="1">
      <c r="A57" s="1281" t="s">
        <v>229</v>
      </c>
      <c r="B57" s="1281" t="s">
        <v>230</v>
      </c>
      <c r="C57" s="1281" t="s">
        <v>231</v>
      </c>
      <c r="D57" s="1281" t="s">
        <v>506</v>
      </c>
      <c r="E57" s="2147"/>
      <c r="F57" s="2147"/>
      <c r="G57" s="2147"/>
      <c r="H57" s="2147"/>
      <c r="I57" s="2149"/>
      <c r="J57" s="2148"/>
      <c r="K57" s="1281"/>
      <c r="L57" s="1282"/>
      <c r="P57" s="2150"/>
      <c r="Q57" s="2150"/>
      <c r="R57" s="280"/>
      <c r="S57" s="1200"/>
      <c r="T57" s="204" t="s">
        <v>437</v>
      </c>
      <c r="U57" s="294"/>
      <c r="V57" s="294"/>
      <c r="W57" s="294"/>
      <c r="X57" s="294"/>
      <c r="Y57" s="294"/>
      <c r="Z57" s="294"/>
      <c r="AA57" s="294"/>
      <c r="AB57" s="294"/>
      <c r="AC57" s="248"/>
      <c r="AD57" s="1417"/>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48"/>
      <c r="BC57" s="2171"/>
      <c r="BE57" s="425"/>
      <c r="BF57" s="425" t="str">
        <f t="shared" si="4"/>
        <v>Добавить строку</v>
      </c>
      <c r="BG57" s="425"/>
      <c r="BH57" s="425"/>
    </row>
    <row r="58" spans="1:60" s="1811" customFormat="1" ht="0" hidden="1" customHeight="1">
      <c r="A58" s="1262" t="s">
        <v>229</v>
      </c>
      <c r="B58" s="1262" t="s">
        <v>230</v>
      </c>
      <c r="C58" s="1262" t="s">
        <v>231</v>
      </c>
      <c r="D58" s="1262" t="s">
        <v>506</v>
      </c>
      <c r="E58" s="2147"/>
      <c r="F58" s="2147"/>
      <c r="G58" s="2147"/>
      <c r="H58" s="2147"/>
      <c r="I58" s="2148"/>
      <c r="J58" s="1262"/>
      <c r="K58" s="1262"/>
      <c r="L58" s="1265"/>
      <c r="M58" s="435"/>
      <c r="N58" s="435"/>
      <c r="O58" s="435"/>
      <c r="P58" s="2150"/>
      <c r="Q58" s="1393"/>
      <c r="R58" s="280"/>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25"/>
      <c r="BF58" s="425" t="str">
        <f t="shared" si="4"/>
        <v/>
      </c>
      <c r="BG58" s="425"/>
      <c r="BH58" s="425"/>
    </row>
    <row r="59" spans="1:60" s="1811" customFormat="1" ht="0" hidden="1" customHeight="1">
      <c r="A59" s="1262" t="s">
        <v>229</v>
      </c>
      <c r="B59" s="1262" t="s">
        <v>230</v>
      </c>
      <c r="C59" s="1262" t="s">
        <v>231</v>
      </c>
      <c r="D59" s="1262" t="s">
        <v>506</v>
      </c>
      <c r="E59" s="2147"/>
      <c r="F59" s="2147"/>
      <c r="G59" s="2147"/>
      <c r="H59" s="2146"/>
      <c r="I59" s="1262"/>
      <c r="J59" s="1262"/>
      <c r="K59" s="1262"/>
      <c r="L59" s="1265"/>
      <c r="M59" s="1235"/>
      <c r="N59" s="1235"/>
      <c r="O59" s="443"/>
      <c r="P59" s="312"/>
      <c r="Q59" s="1263"/>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25"/>
      <c r="BF59" s="425" t="str">
        <f t="shared" si="4"/>
        <v/>
      </c>
      <c r="BG59" s="425"/>
      <c r="BH59" s="425"/>
    </row>
    <row r="60" spans="1:60" s="1881" customFormat="1" ht="0" hidden="1" customHeight="1">
      <c r="A60" s="1262" t="s">
        <v>229</v>
      </c>
      <c r="B60" s="1262" t="s">
        <v>230</v>
      </c>
      <c r="C60" s="1262" t="s">
        <v>231</v>
      </c>
      <c r="D60" s="1234"/>
      <c r="E60" s="2147"/>
      <c r="F60" s="2147"/>
      <c r="G60" s="2146"/>
      <c r="H60" s="1234"/>
      <c r="I60" s="1234"/>
      <c r="J60" s="1234"/>
      <c r="K60" s="1234"/>
      <c r="L60" s="1406"/>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07"/>
      <c r="BF60" s="707" t="str">
        <f t="shared" si="4"/>
        <v/>
      </c>
      <c r="BG60" s="707"/>
      <c r="BH60" s="707"/>
    </row>
    <row r="61" spans="1:60" s="1881" customFormat="1" ht="0" hidden="1" customHeight="1">
      <c r="A61" s="1262" t="s">
        <v>229</v>
      </c>
      <c r="B61" s="1262" t="s">
        <v>230</v>
      </c>
      <c r="C61" s="1234"/>
      <c r="D61" s="1234"/>
      <c r="E61" s="2147"/>
      <c r="F61" s="2146"/>
      <c r="G61" s="1234"/>
      <c r="H61" s="1234"/>
      <c r="I61" s="1234"/>
      <c r="J61" s="1234"/>
      <c r="K61" s="1234"/>
      <c r="L61" s="1406"/>
      <c r="M61" s="1241"/>
      <c r="N61" s="1241"/>
      <c r="P61" s="1236"/>
      <c r="Q61" s="1237"/>
      <c r="R61" s="1236"/>
      <c r="S61" s="1242"/>
      <c r="T61" s="1245" t="s">
        <v>385</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07"/>
      <c r="BF61" s="707" t="str">
        <f t="shared" si="4"/>
        <v>Добавить централизованную систему для дифференциации</v>
      </c>
      <c r="BG61" s="707"/>
      <c r="BH61" s="707"/>
    </row>
    <row r="62" spans="1:60" s="1811" customFormat="1" ht="0" hidden="1" customHeight="1">
      <c r="A62" s="1262" t="s">
        <v>229</v>
      </c>
      <c r="B62" s="1262"/>
      <c r="C62" s="1262"/>
      <c r="D62" s="1262"/>
      <c r="E62" s="2146"/>
      <c r="F62" s="1262"/>
      <c r="G62" s="1262"/>
      <c r="H62" s="1262"/>
      <c r="I62" s="1262"/>
      <c r="J62" s="1262"/>
      <c r="K62" s="1262"/>
      <c r="L62" s="1265"/>
      <c r="M62" s="1241"/>
      <c r="N62" s="1241"/>
      <c r="O62" s="443"/>
      <c r="P62" s="312"/>
      <c r="Q62" s="1263"/>
      <c r="R62" s="312"/>
      <c r="S62" s="1242"/>
      <c r="T62" s="1245" t="s">
        <v>386</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25"/>
      <c r="BF62" s="425" t="str">
        <f t="shared" si="4"/>
        <v>Добавить территорию для дифференциации</v>
      </c>
      <c r="BG62" s="425"/>
      <c r="BH62" s="425"/>
    </row>
    <row r="63" spans="1:60" s="1881" customFormat="1" ht="0" hidden="1" customHeight="1">
      <c r="A63" s="1234"/>
      <c r="B63" s="1234"/>
      <c r="C63" s="1234"/>
      <c r="D63" s="1234"/>
      <c r="E63" s="1262"/>
      <c r="F63" s="1234"/>
      <c r="G63" s="1234"/>
      <c r="H63" s="1234"/>
      <c r="I63" s="1234"/>
      <c r="J63" s="1234"/>
      <c r="K63" s="1234"/>
      <c r="L63" s="1406"/>
      <c r="M63" s="1241"/>
      <c r="N63" s="1241"/>
      <c r="P63" s="1236"/>
      <c r="Q63" s="1237"/>
      <c r="R63" s="1236"/>
      <c r="S63" s="1242"/>
      <c r="T63" s="1245" t="s">
        <v>418</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07"/>
      <c r="BF63" s="707" t="str">
        <f t="shared" si="4"/>
        <v>Добавить наименование тарифа</v>
      </c>
      <c r="BG63" s="707"/>
      <c r="BH63" s="707"/>
    </row>
    <row r="64" spans="1:60" ht="11.25" customHeight="1">
      <c r="M64" s="1062"/>
      <c r="N64" s="1062"/>
      <c r="O64" s="461"/>
      <c r="P64" s="1062"/>
      <c r="Q64" s="1062"/>
      <c r="R64" s="1057"/>
      <c r="S64" s="1057"/>
      <c r="BD64" s="1057"/>
      <c r="BE64" s="1057"/>
      <c r="BF64" s="1057"/>
      <c r="BG64" s="1057"/>
      <c r="BH64" s="1057"/>
    </row>
    <row r="65" spans="15:55" ht="18.75" customHeight="1">
      <c r="O65" s="461"/>
      <c r="S65" s="1166"/>
      <c r="T65" s="2145"/>
      <c r="U65" s="2145"/>
      <c r="V65" s="2145"/>
      <c r="W65" s="2145"/>
      <c r="X65" s="2145"/>
      <c r="Y65" s="2145"/>
      <c r="Z65" s="2145"/>
      <c r="AA65" s="2145"/>
      <c r="AB65" s="2145"/>
      <c r="AC65" s="2145"/>
      <c r="AD65" s="2145"/>
      <c r="AE65" s="2145"/>
      <c r="AF65" s="2145"/>
      <c r="AG65" s="2145"/>
      <c r="AH65" s="2145"/>
      <c r="AI65" s="2145"/>
      <c r="AJ65" s="2145"/>
      <c r="AK65" s="2145"/>
      <c r="AL65" s="2145"/>
      <c r="AM65" s="2145"/>
      <c r="AN65" s="2145"/>
      <c r="AO65" s="2145"/>
      <c r="AP65" s="2145"/>
      <c r="AQ65" s="2145"/>
      <c r="AR65" s="2145"/>
      <c r="AS65" s="2145"/>
      <c r="AT65" s="2145"/>
      <c r="AU65" s="2145"/>
      <c r="AV65" s="2145"/>
      <c r="AW65" s="2145"/>
      <c r="AX65" s="2145"/>
      <c r="AY65" s="2145"/>
      <c r="AZ65" s="2145"/>
      <c r="BA65" s="2145"/>
      <c r="BB65" s="2145"/>
      <c r="BC65" s="2145"/>
    </row>
    <row r="66" spans="15:55" ht="14.25" customHeight="1">
      <c r="O66" s="461"/>
      <c r="T66" s="1392"/>
      <c r="U66" s="1392"/>
      <c r="V66" s="1392"/>
      <c r="W66" s="1392"/>
      <c r="X66" s="1392"/>
      <c r="Y66" s="1392"/>
      <c r="Z66" s="1392"/>
      <c r="AA66" s="1392"/>
      <c r="AB66" s="1392"/>
      <c r="AC66" s="1392"/>
      <c r="AD66" s="1392"/>
      <c r="AE66" s="1392"/>
      <c r="AF66" s="1392"/>
      <c r="AG66" s="1392"/>
      <c r="AH66" s="1392"/>
      <c r="AI66" s="1392"/>
      <c r="AJ66" s="1392"/>
      <c r="AK66" s="1392"/>
      <c r="AL66" s="1392"/>
      <c r="AM66" s="1392"/>
      <c r="AN66" s="1392"/>
      <c r="AO66" s="1392"/>
      <c r="AP66" s="1392"/>
      <c r="AQ66" s="1392"/>
      <c r="AR66" s="1392"/>
      <c r="AS66" s="1392"/>
      <c r="AT66" s="1392"/>
      <c r="AU66" s="1392"/>
      <c r="AV66" s="1392"/>
      <c r="AW66" s="1392"/>
      <c r="AX66" s="1392"/>
      <c r="AY66" s="1392"/>
      <c r="AZ66" s="1392"/>
      <c r="BA66" s="1392"/>
      <c r="BB66" s="1392"/>
      <c r="BC66" s="1392"/>
    </row>
    <row r="67" spans="15:55" ht="18.75" customHeight="1">
      <c r="O67" s="461"/>
      <c r="S67" s="1166"/>
      <c r="T67" s="2145"/>
      <c r="U67" s="2145"/>
      <c r="V67" s="2145"/>
      <c r="W67" s="2145"/>
      <c r="X67" s="2145"/>
      <c r="Y67" s="2145"/>
      <c r="Z67" s="2145"/>
      <c r="AA67" s="2145"/>
      <c r="AB67" s="2145"/>
      <c r="AC67" s="2145"/>
      <c r="AD67" s="2145"/>
      <c r="AE67" s="2145"/>
      <c r="AF67" s="2145"/>
      <c r="AG67" s="2145"/>
      <c r="AH67" s="2145"/>
      <c r="AI67" s="2145"/>
      <c r="AJ67" s="2145"/>
      <c r="AK67" s="2145"/>
      <c r="AL67" s="2145"/>
      <c r="AM67" s="2145"/>
      <c r="AN67" s="2145"/>
      <c r="AO67" s="2145"/>
      <c r="AP67" s="2145"/>
      <c r="AQ67" s="2145"/>
      <c r="AR67" s="2145"/>
      <c r="AS67" s="2145"/>
      <c r="AT67" s="2145"/>
      <c r="AU67" s="2145"/>
      <c r="AV67" s="2145"/>
      <c r="AW67" s="2145"/>
      <c r="AX67" s="2145"/>
      <c r="AY67" s="2145"/>
      <c r="AZ67" s="2145"/>
      <c r="BA67" s="2145"/>
      <c r="BB67" s="2145"/>
      <c r="BC67" s="2145"/>
    </row>
    <row r="68" spans="15:55" ht="14.25" customHeight="1">
      <c r="O68" s="461"/>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302"/>
  <sheetViews>
    <sheetView showGridLines="0" topLeftCell="D20" zoomScale="90" workbookViewId="0"/>
  </sheetViews>
  <sheetFormatPr defaultColWidth="9.140625" defaultRowHeight="11.25" customHeight="1"/>
  <cols>
    <col min="1" max="1" width="10.7109375" style="1905" hidden="1" customWidth="1"/>
    <col min="2" max="2" width="16.85546875" style="1882" hidden="1" customWidth="1"/>
    <col min="3" max="3" width="5.5703125" style="1903" hidden="1" customWidth="1"/>
    <col min="4" max="4" width="3.7109375" style="1911" customWidth="1"/>
    <col min="5" max="5" width="7.7109375" style="1859" customWidth="1"/>
    <col min="6" max="6" width="54.5703125" style="1859" customWidth="1"/>
    <col min="7" max="7" width="10.42578125" style="1859" customWidth="1"/>
    <col min="8" max="8" width="40.7109375" style="1859" hidden="1" customWidth="1"/>
    <col min="9" max="9" width="40.7109375" style="1859" customWidth="1"/>
    <col min="10" max="10" width="102.85546875" style="1859" customWidth="1"/>
    <col min="11" max="11" width="9.7109375" style="1882" customWidth="1"/>
    <col min="12" max="12" width="5.28515625" style="1903" customWidth="1"/>
    <col min="13" max="13" width="3.7109375" style="1903" customWidth="1"/>
    <col min="14" max="17" width="3.7109375" style="1882" customWidth="1"/>
    <col min="18" max="18" width="10.5703125" style="1903" customWidth="1"/>
    <col min="19" max="19" width="34.7109375" style="1882" customWidth="1"/>
    <col min="20" max="20" width="9.42578125" style="1882" customWidth="1"/>
    <col min="21" max="21" width="9.140625" style="1906"/>
    <col min="22" max="26" width="9.140625" style="1882"/>
    <col min="27" max="31" width="9.140625" style="1858"/>
  </cols>
  <sheetData>
    <row r="1" spans="1:31" ht="11.25" hidden="1" customHeight="1"/>
    <row r="2" spans="1:31" ht="23.25" hidden="1" customHeight="1">
      <c r="B2" s="2004"/>
      <c r="C2" s="1069" t="s">
        <v>507</v>
      </c>
      <c r="D2" s="1552"/>
      <c r="E2" s="470">
        <f>B2</f>
        <v>0</v>
      </c>
      <c r="F2" s="471"/>
      <c r="G2" s="1559" t="s">
        <v>508</v>
      </c>
      <c r="H2" s="1559" t="s">
        <v>508</v>
      </c>
      <c r="I2" s="1559" t="s">
        <v>508</v>
      </c>
      <c r="J2" s="206" t="s">
        <v>509</v>
      </c>
      <c r="K2" s="467"/>
    </row>
    <row r="3" spans="1:31" s="1903" customFormat="1" ht="0.75" hidden="1" customHeight="1">
      <c r="B3" s="2004"/>
      <c r="C3" s="1069"/>
      <c r="D3" s="472"/>
      <c r="E3" s="473"/>
      <c r="F3" s="474" t="s">
        <v>510</v>
      </c>
      <c r="G3" s="475"/>
      <c r="H3" s="475">
        <f>H4*H5+H7</f>
        <v>0</v>
      </c>
      <c r="I3" s="475">
        <f>I4*I5+I6</f>
        <v>0</v>
      </c>
      <c r="J3" s="476"/>
    </row>
    <row r="4" spans="1:31" ht="23.25" hidden="1" customHeight="1">
      <c r="B4" s="2004"/>
      <c r="C4" s="1069"/>
      <c r="D4" s="1552"/>
      <c r="E4" s="470" t="str">
        <f>B2&amp;".1"</f>
        <v>.1</v>
      </c>
      <c r="F4" s="477" t="s">
        <v>511</v>
      </c>
      <c r="G4" s="478"/>
      <c r="H4" s="465"/>
      <c r="I4" s="465"/>
      <c r="J4" s="206" t="s">
        <v>512</v>
      </c>
      <c r="K4" s="467"/>
    </row>
    <row r="5" spans="1:31" ht="18.75" hidden="1" customHeight="1">
      <c r="B5" s="2004"/>
      <c r="C5" s="1069"/>
      <c r="D5" s="1552"/>
      <c r="E5" s="470" t="str">
        <f>B2&amp;".2"</f>
        <v>.2</v>
      </c>
      <c r="F5" s="477" t="s">
        <v>513</v>
      </c>
      <c r="G5" s="1559" t="s">
        <v>514</v>
      </c>
      <c r="H5" s="465"/>
      <c r="I5" s="465"/>
      <c r="J5" s="206"/>
      <c r="K5" s="467"/>
    </row>
    <row r="6" spans="1:31" ht="18.75" hidden="1" customHeight="1">
      <c r="B6" s="2004"/>
      <c r="C6" s="1069"/>
      <c r="D6" s="1552"/>
      <c r="E6" s="470" t="str">
        <f>B2&amp;".3"</f>
        <v>.3</v>
      </c>
      <c r="F6" s="477" t="s">
        <v>515</v>
      </c>
      <c r="G6" s="1559" t="s">
        <v>514</v>
      </c>
      <c r="H6" s="465"/>
      <c r="I6" s="465"/>
      <c r="J6" s="206"/>
      <c r="K6" s="467"/>
    </row>
    <row r="7" spans="1:31" ht="18.75" hidden="1" customHeight="1">
      <c r="B7" s="2004"/>
      <c r="C7" s="1069"/>
      <c r="D7" s="1552"/>
      <c r="E7" s="470" t="str">
        <f>B2&amp;".4"</f>
        <v>.4</v>
      </c>
      <c r="F7" s="477" t="s">
        <v>516</v>
      </c>
      <c r="G7" s="1559" t="s">
        <v>508</v>
      </c>
      <c r="H7" s="479"/>
      <c r="I7" s="479"/>
      <c r="J7" s="206"/>
      <c r="K7" s="467"/>
    </row>
    <row r="8" spans="1:31" s="1882" customFormat="1" ht="11.25" hidden="1" customHeight="1">
      <c r="A8" s="897"/>
      <c r="C8" s="1550"/>
      <c r="D8" s="461"/>
      <c r="H8" s="1062">
        <v>4</v>
      </c>
      <c r="I8" s="1062">
        <v>4</v>
      </c>
      <c r="L8" s="1550"/>
      <c r="M8" s="1550"/>
      <c r="R8" s="1550"/>
    </row>
    <row r="9" spans="1:31" s="1882" customFormat="1" ht="22.5" hidden="1" customHeight="1">
      <c r="A9" s="897"/>
      <c r="C9" s="1550"/>
      <c r="D9" s="462"/>
      <c r="E9" s="1561"/>
      <c r="F9" s="464"/>
      <c r="G9" s="1559" t="s">
        <v>514</v>
      </c>
      <c r="H9" s="465"/>
      <c r="I9" s="465"/>
      <c r="J9" s="466" t="s">
        <v>517</v>
      </c>
      <c r="K9" s="467"/>
      <c r="L9" s="1550"/>
      <c r="M9" s="1550"/>
      <c r="R9" s="1550"/>
      <c r="U9" s="468"/>
      <c r="AA9" s="1546"/>
      <c r="AB9" s="1546"/>
      <c r="AC9" s="1546"/>
      <c r="AD9" s="1546"/>
      <c r="AE9" s="1546"/>
    </row>
    <row r="10" spans="1:31" ht="11.25" hidden="1" customHeight="1"/>
    <row r="11" spans="1:31" ht="18.75" hidden="1" customHeight="1">
      <c r="D11" s="1552"/>
      <c r="E11" s="470"/>
      <c r="F11" s="464"/>
      <c r="G11" s="1559" t="s">
        <v>518</v>
      </c>
      <c r="H11" s="465"/>
      <c r="I11" s="465"/>
      <c r="J11" s="206" t="s">
        <v>519</v>
      </c>
      <c r="K11" s="467"/>
    </row>
    <row r="12" spans="1:31" ht="11.25" hidden="1" customHeight="1"/>
    <row r="13" spans="1:31" ht="22.5" hidden="1" customHeight="1">
      <c r="D13" s="1552"/>
      <c r="E13" s="470"/>
      <c r="F13" s="464"/>
      <c r="G13" s="880" t="s">
        <v>520</v>
      </c>
      <c r="H13" s="469"/>
      <c r="I13" s="469"/>
      <c r="J13" s="663" t="s">
        <v>521</v>
      </c>
      <c r="K13" s="467"/>
    </row>
    <row r="14" spans="1:31" ht="11.25" hidden="1" customHeight="1"/>
    <row r="15" spans="1:31" ht="22.5" hidden="1" customHeight="1">
      <c r="D15" s="1552"/>
      <c r="E15" s="470"/>
      <c r="F15" s="464"/>
      <c r="G15" s="1559" t="s">
        <v>522</v>
      </c>
      <c r="H15" s="469"/>
      <c r="I15" s="469"/>
      <c r="J15" s="206" t="s">
        <v>523</v>
      </c>
      <c r="K15" s="467"/>
    </row>
    <row r="16" spans="1:31" ht="11.25" hidden="1" customHeight="1"/>
    <row r="17" spans="1:26" ht="22.5" hidden="1" customHeight="1">
      <c r="D17" s="1552"/>
      <c r="E17" s="470"/>
      <c r="F17" s="464"/>
      <c r="G17" s="1559" t="s">
        <v>524</v>
      </c>
      <c r="H17" s="469"/>
      <c r="I17" s="469"/>
      <c r="J17" s="206" t="s">
        <v>525</v>
      </c>
      <c r="K17" s="467"/>
    </row>
    <row r="18" spans="1:26" ht="11.25" hidden="1" customHeight="1"/>
    <row r="19" spans="1:26" s="1858" customFormat="1" ht="11.25" hidden="1" customHeight="1">
      <c r="A19" s="897"/>
      <c r="B19" s="1062"/>
      <c r="C19" s="1550"/>
      <c r="D19" s="288"/>
      <c r="J19" s="1546">
        <v>4</v>
      </c>
      <c r="K19" s="1062"/>
      <c r="L19" s="1550"/>
      <c r="M19" s="1550"/>
      <c r="N19" s="1062"/>
      <c r="O19" s="1062"/>
      <c r="P19" s="1062"/>
      <c r="Q19" s="1062"/>
      <c r="R19" s="1550"/>
      <c r="S19" s="1062"/>
      <c r="T19" s="1062"/>
      <c r="U19" s="468"/>
      <c r="V19" s="1062"/>
      <c r="W19" s="1062"/>
      <c r="X19" s="1062"/>
      <c r="Y19" s="1062"/>
      <c r="Z19" s="1062"/>
    </row>
    <row r="21" spans="1:26" ht="24" customHeight="1">
      <c r="E21" s="2067"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068"/>
      <c r="G21" s="2068"/>
      <c r="H21" s="2068"/>
      <c r="I21" s="2069"/>
      <c r="J21" s="480"/>
    </row>
    <row r="22" spans="1:26" ht="24" customHeight="1">
      <c r="E22" s="2121" t="str">
        <f>IF(org=0,"Не определено",org)</f>
        <v>ООО "Горводоканал"</v>
      </c>
      <c r="F22" s="2122"/>
      <c r="G22" s="2122"/>
      <c r="H22" s="2122"/>
      <c r="I22" s="2123"/>
    </row>
    <row r="23" spans="1:26" ht="11.25" customHeight="1">
      <c r="E23" s="1039"/>
      <c r="F23" s="1039"/>
      <c r="G23" s="1039"/>
      <c r="H23" s="1039"/>
      <c r="I23" s="1039"/>
    </row>
    <row r="24" spans="1:26" s="1903" customFormat="1" ht="0.75" customHeight="1">
      <c r="A24" s="1069"/>
      <c r="D24" s="1555"/>
      <c r="H24" s="803"/>
      <c r="I24" s="803" t="s">
        <v>99</v>
      </c>
    </row>
    <row r="25" spans="1:26" ht="11.25" customHeight="1">
      <c r="E25" s="629"/>
      <c r="F25" s="2224" t="s">
        <v>87</v>
      </c>
      <c r="G25" s="2225"/>
      <c r="H25" s="1565" t="str">
        <f>IF(H24="","",INDEX(DIFFERENTIATION_UNMERGE_VD,MATCH(H24,DIFFERENTIATION_ID_DIFF,0)))</f>
        <v/>
      </c>
      <c r="I25" s="1565">
        <f>IF(I24="","",INDEX(DIFFERENTIATION_UNMERGE_VD,MATCH(I24,DIFFERENTIATION_ID_DIFF,0)))</f>
        <v>0</v>
      </c>
      <c r="J25" s="2019"/>
    </row>
    <row r="26" spans="1:26" ht="11.25" customHeight="1">
      <c r="E26" s="629"/>
      <c r="F26" s="2224" t="s">
        <v>526</v>
      </c>
      <c r="G26" s="2225"/>
      <c r="H26" s="1565" t="str">
        <f>IF(H24="","",INDEX(DIFFERENTIATION_UNMERGE_AREA,MATCH(H24,DIFFERENTIATION_ID_DIFF,0)))</f>
        <v/>
      </c>
      <c r="I26" s="1565" t="str">
        <f>IF(I24="","",INDEX(DIFFERENTIATION_UNMERGE_AREA,MATCH(I24,DIFFERENTIATION_ID_DIFF,0)))</f>
        <v/>
      </c>
      <c r="J26" s="2019"/>
    </row>
    <row r="27" spans="1:26" ht="11.25" customHeight="1">
      <c r="E27" s="629"/>
      <c r="F27" s="2224" t="s">
        <v>527</v>
      </c>
      <c r="G27" s="2225"/>
      <c r="H27" s="1565" t="str">
        <f>IF(H24="","",INDEX(DIFFERENTIATION_UNMERGE_SYSTEM,MATCH(H24,DIFFERENTIATION_ID_DIFF,0)))</f>
        <v/>
      </c>
      <c r="I27" s="1565" t="str">
        <f>IF(I24="","",INDEX(DIFFERENTIATION_UNMERGE_SYSTEM,MATCH(I24,DIFFERENTIATION_ID_DIFF,0)))</f>
        <v>без дифференциации</v>
      </c>
      <c r="J27" s="2019"/>
    </row>
    <row r="28" spans="1:26" ht="11.25" customHeight="1">
      <c r="E28" s="2226" t="s">
        <v>268</v>
      </c>
      <c r="F28" s="2227"/>
      <c r="G28" s="2227"/>
      <c r="H28" s="1558"/>
      <c r="I28" s="1558"/>
      <c r="J28" s="2019"/>
    </row>
    <row r="29" spans="1:26" ht="22.5" customHeight="1">
      <c r="E29" s="1559" t="s">
        <v>73</v>
      </c>
      <c r="F29" s="1566" t="s">
        <v>270</v>
      </c>
      <c r="G29" s="1566" t="s">
        <v>528</v>
      </c>
      <c r="H29" s="1566" t="s">
        <v>271</v>
      </c>
      <c r="I29" s="1566" t="s">
        <v>271</v>
      </c>
      <c r="J29" s="2019"/>
    </row>
    <row r="30" spans="1:26" ht="18.75" customHeight="1">
      <c r="D30" s="1552"/>
      <c r="E30" s="470">
        <f>FHD_NUM_P_1</f>
        <v>1</v>
      </c>
      <c r="F30" s="625" t="str">
        <f>FHD_P_1</f>
        <v>Выручка от регулируемых видов деятельности в сфере водоотведения</v>
      </c>
      <c r="G30" s="1559" t="s">
        <v>514</v>
      </c>
      <c r="H30" s="481"/>
      <c r="I30" s="481"/>
      <c r="J30" s="206" t="str">
        <f>FHD_NOTE_P_1</f>
        <v>Указывается выручка с распределением по видам деятельности.</v>
      </c>
      <c r="K30" s="467"/>
    </row>
    <row r="31" spans="1:26" ht="11.25" customHeight="1">
      <c r="D31" s="1552"/>
      <c r="E31" s="470">
        <f>FHD_NUM_P_2</f>
        <v>2</v>
      </c>
      <c r="F31" s="625" t="str">
        <f>FHD_P_2</f>
        <v>Себестоимость производимых товаров (оказываемых услуг) по регулируемым видам деятельности в сфере водоотведения, включая:</v>
      </c>
      <c r="G31" s="1559" t="s">
        <v>514</v>
      </c>
      <c r="H31" s="482">
        <f>SUMIF($K33:$K71,$K31,H33:H71)</f>
        <v>0</v>
      </c>
      <c r="I31" s="482">
        <f>SUMIF($K33:$K71,$K31,I33:I71)</f>
        <v>0</v>
      </c>
      <c r="J31" s="206" t="str">
        <f>FHD_NOTE_P_2</f>
        <v>Указывается суммарная себестоимость производимых товаров.</v>
      </c>
      <c r="K31" s="1550" t="s">
        <v>529</v>
      </c>
    </row>
    <row r="32" spans="1:26" ht="11.25" customHeight="1">
      <c r="D32" s="1552"/>
      <c r="E32" s="470" t="str">
        <f>FHD_NUM_P_3</f>
        <v>2.1</v>
      </c>
      <c r="F32" s="865" t="str">
        <f>FHD_P_3</f>
        <v>Расходы на оплату услуг по приему, транспортировке и очистке сточных вод другими организациями</v>
      </c>
      <c r="G32" s="1559" t="s">
        <v>514</v>
      </c>
      <c r="H32" s="481"/>
      <c r="I32" s="481"/>
      <c r="J32" s="206" t="str">
        <f>FHD_NOTE_P_3</f>
        <v/>
      </c>
      <c r="K32" s="1550" t="str">
        <f t="shared" ref="K32:K70" si="0">IF((LEN(E32)-LEN(SUBSTITUTE(E32,".","")))/LEN(".")=1,"p","")</f>
        <v>p</v>
      </c>
    </row>
    <row r="33" spans="1:31" ht="11.25" hidden="1" customHeight="1">
      <c r="A33" s="2222" t="s">
        <v>530</v>
      </c>
      <c r="D33" s="1552"/>
      <c r="E33" s="470" t="str">
        <f>FHD_NUM_P_4</f>
        <v/>
      </c>
      <c r="F33" s="865" t="str">
        <f>FHD_P_4</f>
        <v/>
      </c>
      <c r="G33" s="1559" t="s">
        <v>514</v>
      </c>
      <c r="H33" s="482">
        <f>SUMIF($F34:$F40,$F3,H34:H40)</f>
        <v>0</v>
      </c>
      <c r="I33" s="482">
        <f>SUMIF($F34:$F40,$F3,I34:I40)</f>
        <v>0</v>
      </c>
      <c r="J33" s="206" t="str">
        <f>FHD_NOTE_P_4</f>
        <v/>
      </c>
      <c r="K33" s="1550" t="str">
        <f t="shared" si="0"/>
        <v/>
      </c>
    </row>
    <row r="34" spans="1:31" s="1907" customFormat="1" ht="0.75" hidden="1" customHeight="1">
      <c r="A34" s="2222"/>
      <c r="B34" s="2223" t="str">
        <f>E33&amp;".0"</f>
        <v>.0</v>
      </c>
      <c r="C34" s="1069"/>
      <c r="D34" s="484"/>
      <c r="E34" s="485"/>
      <c r="F34" s="486"/>
      <c r="G34" s="487"/>
      <c r="H34" s="422"/>
      <c r="I34" s="422"/>
      <c r="J34" s="488"/>
      <c r="K34" s="1550" t="str">
        <f t="shared" si="0"/>
        <v/>
      </c>
      <c r="L34" s="1550"/>
      <c r="M34" s="1550"/>
      <c r="N34" s="1550"/>
      <c r="O34" s="1550"/>
      <c r="P34" s="1550"/>
      <c r="Q34" s="1550"/>
      <c r="R34" s="1550"/>
      <c r="S34" s="1550"/>
      <c r="T34" s="1550"/>
      <c r="U34" s="489"/>
      <c r="V34" s="1550"/>
      <c r="W34" s="1550"/>
      <c r="X34" s="1550"/>
      <c r="Y34" s="1550"/>
      <c r="Z34" s="1550"/>
      <c r="AA34" s="490"/>
      <c r="AB34" s="490"/>
      <c r="AC34" s="490"/>
      <c r="AD34" s="490"/>
      <c r="AE34" s="490"/>
    </row>
    <row r="35" spans="1:31" s="1907" customFormat="1" ht="0.75" hidden="1" customHeight="1">
      <c r="A35" s="2222"/>
      <c r="B35" s="2223"/>
      <c r="C35" s="1069"/>
      <c r="D35" s="484"/>
      <c r="E35" s="491"/>
      <c r="F35" s="492"/>
      <c r="G35" s="487"/>
      <c r="H35" s="493"/>
      <c r="I35" s="493"/>
      <c r="J35" s="488"/>
      <c r="K35" s="1550" t="str">
        <f t="shared" si="0"/>
        <v/>
      </c>
      <c r="L35" s="1550"/>
      <c r="M35" s="1550"/>
      <c r="N35" s="1550"/>
      <c r="O35" s="1550"/>
      <c r="P35" s="1550"/>
      <c r="Q35" s="1550"/>
      <c r="R35" s="1550"/>
      <c r="S35" s="1550"/>
      <c r="T35" s="1550"/>
      <c r="U35" s="489"/>
      <c r="V35" s="1550"/>
      <c r="W35" s="1550"/>
      <c r="X35" s="1550"/>
      <c r="Y35" s="1550"/>
      <c r="Z35" s="1550"/>
      <c r="AA35" s="490"/>
      <c r="AB35" s="490"/>
      <c r="AC35" s="490"/>
      <c r="AD35" s="490"/>
      <c r="AE35" s="490"/>
    </row>
    <row r="36" spans="1:31" s="1907" customFormat="1" ht="0.75" hidden="1" customHeight="1">
      <c r="A36" s="2222"/>
      <c r="B36" s="2223"/>
      <c r="C36" s="1069"/>
      <c r="D36" s="484"/>
      <c r="E36" s="491"/>
      <c r="F36" s="492"/>
      <c r="G36" s="487"/>
      <c r="H36" s="493"/>
      <c r="I36" s="493"/>
      <c r="J36" s="488"/>
      <c r="K36" s="1550" t="str">
        <f t="shared" si="0"/>
        <v/>
      </c>
      <c r="L36" s="1550"/>
      <c r="M36" s="1550"/>
      <c r="N36" s="1550"/>
      <c r="O36" s="1550"/>
      <c r="P36" s="1550"/>
      <c r="Q36" s="1550"/>
      <c r="R36" s="1550"/>
      <c r="S36" s="1550"/>
      <c r="T36" s="1550"/>
      <c r="U36" s="489"/>
      <c r="V36" s="1550"/>
      <c r="W36" s="1550"/>
      <c r="X36" s="1550"/>
      <c r="Y36" s="1550"/>
      <c r="Z36" s="1550"/>
      <c r="AA36" s="490"/>
      <c r="AB36" s="490"/>
      <c r="AC36" s="490"/>
      <c r="AD36" s="490"/>
      <c r="AE36" s="490"/>
    </row>
    <row r="37" spans="1:31" s="1907" customFormat="1" ht="0.75" hidden="1" customHeight="1">
      <c r="A37" s="2222"/>
      <c r="B37" s="2223"/>
      <c r="C37" s="1069"/>
      <c r="D37" s="484"/>
      <c r="E37" s="491"/>
      <c r="F37" s="492"/>
      <c r="G37" s="487"/>
      <c r="H37" s="493"/>
      <c r="I37" s="493"/>
      <c r="J37" s="488"/>
      <c r="K37" s="1550" t="str">
        <f t="shared" si="0"/>
        <v/>
      </c>
      <c r="L37" s="1550"/>
      <c r="M37" s="1550"/>
      <c r="N37" s="1550"/>
      <c r="O37" s="1550"/>
      <c r="P37" s="1550"/>
      <c r="Q37" s="1550"/>
      <c r="R37" s="1550"/>
      <c r="S37" s="1550"/>
      <c r="T37" s="1550"/>
      <c r="U37" s="489"/>
      <c r="V37" s="1550"/>
      <c r="W37" s="1550"/>
      <c r="X37" s="1550"/>
      <c r="Y37" s="1550"/>
      <c r="Z37" s="1550"/>
      <c r="AA37" s="490"/>
      <c r="AB37" s="490"/>
      <c r="AC37" s="490"/>
      <c r="AD37" s="490"/>
      <c r="AE37" s="490"/>
    </row>
    <row r="38" spans="1:31" s="1907" customFormat="1" ht="0.75" hidden="1" customHeight="1">
      <c r="A38" s="2222"/>
      <c r="B38" s="2223"/>
      <c r="C38" s="1069"/>
      <c r="D38" s="484"/>
      <c r="E38" s="491"/>
      <c r="F38" s="492"/>
      <c r="G38" s="487"/>
      <c r="H38" s="493"/>
      <c r="I38" s="493"/>
      <c r="J38" s="488"/>
      <c r="K38" s="1550" t="str">
        <f t="shared" si="0"/>
        <v/>
      </c>
      <c r="L38" s="1550"/>
      <c r="M38" s="1550"/>
      <c r="N38" s="1550"/>
      <c r="O38" s="1550"/>
      <c r="P38" s="1550"/>
      <c r="Q38" s="1550"/>
      <c r="R38" s="1550"/>
      <c r="S38" s="1550"/>
      <c r="T38" s="1550"/>
      <c r="U38" s="489"/>
      <c r="V38" s="1550"/>
      <c r="W38" s="1550"/>
      <c r="X38" s="1550"/>
      <c r="Y38" s="1550"/>
      <c r="Z38" s="1550"/>
      <c r="AA38" s="490"/>
      <c r="AB38" s="490"/>
      <c r="AC38" s="490"/>
      <c r="AD38" s="490"/>
      <c r="AE38" s="490"/>
    </row>
    <row r="39" spans="1:31" s="1907" customFormat="1" ht="0.75" hidden="1" customHeight="1">
      <c r="A39" s="2222"/>
      <c r="B39" s="2223"/>
      <c r="C39" s="1069"/>
      <c r="D39" s="484"/>
      <c r="E39" s="491"/>
      <c r="F39" s="492"/>
      <c r="G39" s="487"/>
      <c r="H39" s="422"/>
      <c r="I39" s="422"/>
      <c r="J39" s="488"/>
      <c r="K39" s="1550" t="str">
        <f t="shared" si="0"/>
        <v/>
      </c>
      <c r="L39" s="1550"/>
      <c r="M39" s="1550"/>
      <c r="N39" s="1550"/>
      <c r="O39" s="1550"/>
      <c r="P39" s="1550"/>
      <c r="Q39" s="1550"/>
      <c r="R39" s="1550"/>
      <c r="S39" s="1550"/>
      <c r="T39" s="1550"/>
      <c r="U39" s="489"/>
      <c r="V39" s="1550"/>
      <c r="W39" s="1550"/>
      <c r="X39" s="1550"/>
      <c r="Y39" s="1550"/>
      <c r="Z39" s="1550"/>
      <c r="AA39" s="490"/>
      <c r="AB39" s="490"/>
      <c r="AC39" s="490"/>
      <c r="AD39" s="490"/>
      <c r="AE39" s="490"/>
    </row>
    <row r="40" spans="1:31" s="1882" customFormat="1" ht="15" hidden="1" customHeight="1">
      <c r="A40" s="2222"/>
      <c r="C40" s="1550"/>
      <c r="D40" s="1547"/>
      <c r="E40" s="494"/>
      <c r="F40" s="495" t="s">
        <v>531</v>
      </c>
      <c r="G40" s="496"/>
      <c r="H40" s="497"/>
      <c r="I40" s="497"/>
      <c r="J40" s="218"/>
      <c r="K40" s="1550" t="str">
        <f t="shared" si="0"/>
        <v/>
      </c>
      <c r="L40" s="1550"/>
      <c r="M40" s="1550"/>
      <c r="R40" s="1550"/>
      <c r="U40" s="468"/>
      <c r="AA40" s="1546"/>
      <c r="AB40" s="1546"/>
      <c r="AC40" s="1546"/>
      <c r="AD40" s="1546"/>
      <c r="AE40" s="1546"/>
    </row>
    <row r="41" spans="1:31" ht="11.25" hidden="1" customHeight="1">
      <c r="A41" s="2222" t="s">
        <v>532</v>
      </c>
      <c r="D41" s="1552"/>
      <c r="E41" s="470" t="str">
        <f>FHD_NUM_P_5</f>
        <v/>
      </c>
      <c r="F41" s="865" t="str">
        <f>FHD_P_5</f>
        <v/>
      </c>
      <c r="G41" s="1559" t="s">
        <v>514</v>
      </c>
      <c r="H41" s="481"/>
      <c r="I41" s="481"/>
      <c r="J41" s="206" t="str">
        <f>FHD_NOTE_P_5</f>
        <v/>
      </c>
      <c r="K41" s="1550" t="str">
        <f t="shared" si="0"/>
        <v/>
      </c>
    </row>
    <row r="42" spans="1:31" ht="11.25" hidden="1" customHeight="1">
      <c r="A42" s="2222"/>
      <c r="D42" s="1552"/>
      <c r="E42" s="470" t="str">
        <f>FHD_NUM_P_6</f>
        <v/>
      </c>
      <c r="F42" s="865" t="str">
        <f>FHD_P_6</f>
        <v/>
      </c>
      <c r="G42" s="1559" t="s">
        <v>514</v>
      </c>
      <c r="H42" s="481"/>
      <c r="I42" s="481"/>
      <c r="J42" s="206" t="str">
        <f>FHD_NOTE_P_6</f>
        <v/>
      </c>
      <c r="K42" s="1550" t="str">
        <f t="shared" si="0"/>
        <v/>
      </c>
    </row>
    <row r="43" spans="1:31" ht="11.25" hidden="1" customHeight="1">
      <c r="A43" s="2222"/>
      <c r="D43" s="1552"/>
      <c r="E43" s="470" t="str">
        <f>FHD_NUM_P_7</f>
        <v/>
      </c>
      <c r="F43" s="865" t="str">
        <f>FHD_P_7</f>
        <v/>
      </c>
      <c r="G43" s="1559" t="s">
        <v>514</v>
      </c>
      <c r="H43" s="481"/>
      <c r="I43" s="481"/>
      <c r="J43" s="206" t="str">
        <f>FHD_NOTE_P_7</f>
        <v/>
      </c>
      <c r="K43" s="1550" t="str">
        <f t="shared" si="0"/>
        <v/>
      </c>
    </row>
    <row r="44" spans="1:31" ht="11.25" customHeight="1">
      <c r="D44" s="1552"/>
      <c r="E44" s="470" t="str">
        <f>FHD_NUM_P_8</f>
        <v>2.2</v>
      </c>
      <c r="F44" s="865" t="str">
        <f>FHD_P_8</f>
        <v>Расходы на приобретаемую электрическую энергию (мощность), используемую в технологическом процессе</v>
      </c>
      <c r="G44" s="1559" t="s">
        <v>514</v>
      </c>
      <c r="H44" s="481"/>
      <c r="I44" s="481"/>
      <c r="J44" s="206" t="str">
        <f>FHD_NOTE_P_8</f>
        <v/>
      </c>
      <c r="K44" s="1550" t="str">
        <f t="shared" si="0"/>
        <v>p</v>
      </c>
    </row>
    <row r="45" spans="1:31" ht="11.25" customHeight="1">
      <c r="D45" s="1552"/>
      <c r="E45" s="470" t="str">
        <f>FHD_NUM_P_9</f>
        <v>2.2.1</v>
      </c>
      <c r="F45" s="1563" t="str">
        <f>FHD_P_9</f>
        <v>Средневзвешенная стоимость 1 кВт.ч (с учетом мощности)</v>
      </c>
      <c r="G45" s="1559" t="s">
        <v>533</v>
      </c>
      <c r="H45" s="481"/>
      <c r="I45" s="481"/>
      <c r="J45" s="206" t="str">
        <f>FHD_NOTE_P_9</f>
        <v/>
      </c>
      <c r="K45" s="1550" t="str">
        <f t="shared" si="0"/>
        <v/>
      </c>
    </row>
    <row r="46" spans="1:31" s="1882" customFormat="1" ht="11.25" customHeight="1">
      <c r="A46" s="897"/>
      <c r="C46" s="1550"/>
      <c r="D46" s="498"/>
      <c r="E46" s="470" t="str">
        <f>FHD_NUM_P_10</f>
        <v>2.2.2</v>
      </c>
      <c r="F46" s="1563" t="str">
        <f>FHD_P_10</f>
        <v>Объём приобретения электрической энергии</v>
      </c>
      <c r="G46" s="1559" t="s">
        <v>534</v>
      </c>
      <c r="H46" s="481"/>
      <c r="I46" s="481"/>
      <c r="J46" s="206" t="str">
        <f>FHD_NOTE_P_10</f>
        <v/>
      </c>
      <c r="K46" s="1550" t="str">
        <f t="shared" si="0"/>
        <v/>
      </c>
      <c r="L46" s="1550"/>
      <c r="M46" s="1550"/>
      <c r="R46" s="1550"/>
      <c r="U46" s="468"/>
      <c r="AA46" s="1546"/>
      <c r="AB46" s="1546"/>
      <c r="AC46" s="1546"/>
      <c r="AD46" s="1546"/>
      <c r="AE46" s="1546"/>
    </row>
    <row r="47" spans="1:31" s="1882" customFormat="1" ht="11.25" hidden="1" customHeight="1">
      <c r="A47" s="899" t="s">
        <v>535</v>
      </c>
      <c r="C47" s="1550"/>
      <c r="D47" s="499"/>
      <c r="E47" s="470" t="str">
        <f>FHD_NUM_P_11</f>
        <v/>
      </c>
      <c r="F47" s="865" t="str">
        <f>FHD_P_11</f>
        <v/>
      </c>
      <c r="G47" s="1559" t="s">
        <v>514</v>
      </c>
      <c r="H47" s="481"/>
      <c r="I47" s="481"/>
      <c r="J47" s="206" t="str">
        <f>FHD_NOTE_P_11</f>
        <v/>
      </c>
      <c r="K47" s="1550" t="str">
        <f t="shared" si="0"/>
        <v/>
      </c>
      <c r="L47" s="1550"/>
      <c r="M47" s="1550"/>
      <c r="R47" s="1550"/>
      <c r="U47" s="468"/>
      <c r="AA47" s="1546"/>
      <c r="AB47" s="1546"/>
      <c r="AC47" s="1546"/>
      <c r="AD47" s="1546"/>
      <c r="AE47" s="1546"/>
    </row>
    <row r="48" spans="1:31" s="1882" customFormat="1" ht="18" customHeight="1">
      <c r="A48" s="899" t="s">
        <v>536</v>
      </c>
      <c r="C48" s="1550"/>
      <c r="D48" s="1552"/>
      <c r="E48" s="470" t="str">
        <f>FHD_NUM_P_12</f>
        <v>2.3</v>
      </c>
      <c r="F48" s="865" t="str">
        <f>FHD_P_12</f>
        <v>Расходы на химические реагенты, используемые в технологическом процессе</v>
      </c>
      <c r="G48" s="1559" t="s">
        <v>514</v>
      </c>
      <c r="H48" s="501"/>
      <c r="I48" s="501"/>
      <c r="J48" s="206" t="str">
        <f>FHD_NOTE_P_12</f>
        <v/>
      </c>
      <c r="K48" s="1550" t="str">
        <f t="shared" si="0"/>
        <v>p</v>
      </c>
      <c r="L48" s="1550"/>
      <c r="M48" s="1550"/>
      <c r="R48" s="1550"/>
      <c r="U48" s="468"/>
      <c r="AA48" s="1546"/>
      <c r="AB48" s="1546"/>
      <c r="AC48" s="1546"/>
      <c r="AD48" s="1546"/>
      <c r="AE48" s="1546"/>
    </row>
    <row r="49" spans="1:31" s="1886" customFormat="1" ht="11.25" customHeight="1">
      <c r="A49" s="898"/>
      <c r="C49" s="649"/>
      <c r="D49" s="593"/>
      <c r="E49" s="470" t="str">
        <f>FHD_NUM_P_13</f>
        <v>2.4</v>
      </c>
      <c r="F49" s="86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559" t="s">
        <v>514</v>
      </c>
      <c r="H49" s="481"/>
      <c r="I49" s="481"/>
      <c r="J49" s="206" t="str">
        <f>FHD_NOTE_P_13</f>
        <v>Указывается общая сумма расходов на оплату труда и отчислений на социальные нужды основного производственного персонала.</v>
      </c>
      <c r="K49" s="1550" t="str">
        <f t="shared" si="0"/>
        <v>p</v>
      </c>
      <c r="L49" s="649"/>
      <c r="M49" s="649"/>
      <c r="R49" s="649"/>
      <c r="U49" s="650"/>
      <c r="AA49" s="651"/>
      <c r="AB49" s="651"/>
      <c r="AC49" s="651"/>
      <c r="AD49" s="651"/>
      <c r="AE49" s="651"/>
    </row>
    <row r="50" spans="1:31" s="1886" customFormat="1" ht="11.25" customHeight="1">
      <c r="A50" s="898"/>
      <c r="C50" s="649"/>
      <c r="D50" s="593"/>
      <c r="E50" s="470" t="str">
        <f>FHD_NUM_P_14</f>
        <v>2.4.1</v>
      </c>
      <c r="F50" s="1563" t="str">
        <f>FHD_P_14</f>
        <v>Расходы на оплату труда основного производственного персонала</v>
      </c>
      <c r="G50" s="1559" t="s">
        <v>514</v>
      </c>
      <c r="H50" s="481"/>
      <c r="I50" s="481"/>
      <c r="J50" s="206" t="str">
        <f>FHD_NOTE_P_14</f>
        <v/>
      </c>
      <c r="K50" s="1550" t="str">
        <f t="shared" si="0"/>
        <v/>
      </c>
      <c r="L50" s="649"/>
      <c r="M50" s="649"/>
      <c r="R50" s="649"/>
      <c r="U50" s="650"/>
      <c r="AA50" s="651"/>
      <c r="AB50" s="651"/>
      <c r="AC50" s="651"/>
      <c r="AD50" s="651"/>
      <c r="AE50" s="651"/>
    </row>
    <row r="51" spans="1:31" s="1886" customFormat="1" ht="11.25" customHeight="1">
      <c r="A51" s="898"/>
      <c r="C51" s="649"/>
      <c r="D51" s="593"/>
      <c r="E51" s="470" t="str">
        <f>FHD_NUM_P_15</f>
        <v>2.4.2</v>
      </c>
      <c r="F51" s="1563" t="str">
        <f>FHD_P_15</f>
        <v>Страховые взносы на обязательное социальное страхование, выплачиваемые из фонда оплаты труда основного производственного персонала</v>
      </c>
      <c r="G51" s="1559" t="s">
        <v>514</v>
      </c>
      <c r="H51" s="481"/>
      <c r="I51" s="481"/>
      <c r="J51" s="206" t="str">
        <f>FHD_NOTE_P_15</f>
        <v/>
      </c>
      <c r="K51" s="1550" t="str">
        <f t="shared" si="0"/>
        <v/>
      </c>
      <c r="L51" s="649"/>
      <c r="M51" s="649"/>
      <c r="R51" s="649"/>
      <c r="U51" s="650"/>
      <c r="AA51" s="651"/>
      <c r="AB51" s="651"/>
      <c r="AC51" s="651"/>
      <c r="AD51" s="651"/>
      <c r="AE51" s="651"/>
    </row>
    <row r="52" spans="1:31" s="1882" customFormat="1" ht="11.25" customHeight="1">
      <c r="A52" s="897"/>
      <c r="C52" s="1550"/>
      <c r="D52" s="1552"/>
      <c r="E52" s="470" t="str">
        <f>FHD_NUM_P_16</f>
        <v>2.5</v>
      </c>
      <c r="F52" s="86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559" t="s">
        <v>514</v>
      </c>
      <c r="H52" s="481"/>
      <c r="I52" s="481"/>
      <c r="J52" s="206" t="str">
        <f>FHD_NOTE_P_16</f>
        <v>Указывается общая сумма расходов на оплату труда и отчислений на социальные нужды административно-управленческого персонала.</v>
      </c>
      <c r="K52" s="1550" t="str">
        <f t="shared" si="0"/>
        <v>p</v>
      </c>
      <c r="L52" s="1550"/>
      <c r="M52" s="1555"/>
      <c r="N52" s="461"/>
      <c r="O52" s="461"/>
      <c r="R52" s="1550"/>
      <c r="U52" s="468"/>
      <c r="AA52" s="1546"/>
      <c r="AB52" s="1546"/>
      <c r="AC52" s="1546"/>
      <c r="AD52" s="1546"/>
      <c r="AE52" s="1546"/>
    </row>
    <row r="53" spans="1:31" s="1882" customFormat="1" ht="11.25" customHeight="1">
      <c r="A53" s="897"/>
      <c r="C53" s="1550"/>
      <c r="D53" s="1552"/>
      <c r="E53" s="470" t="str">
        <f>FHD_NUM_P_17</f>
        <v>2.5.1</v>
      </c>
      <c r="F53" s="1563" t="str">
        <f>FHD_P_17</f>
        <v>Расходы на оплату труда административно-управленческого персонала, в том числе:</v>
      </c>
      <c r="G53" s="1559" t="s">
        <v>514</v>
      </c>
      <c r="H53" s="481"/>
      <c r="I53" s="481"/>
      <c r="J53" s="206" t="str">
        <f>FHD_NOTE_P_17</f>
        <v/>
      </c>
      <c r="K53" s="1550" t="str">
        <f t="shared" si="0"/>
        <v/>
      </c>
      <c r="L53" s="1550"/>
      <c r="M53" s="1555"/>
      <c r="N53" s="461"/>
      <c r="O53" s="461"/>
      <c r="R53" s="1550"/>
      <c r="U53" s="468"/>
      <c r="AA53" s="1546"/>
      <c r="AB53" s="1546"/>
      <c r="AC53" s="1546"/>
      <c r="AD53" s="1546"/>
      <c r="AE53" s="1546"/>
    </row>
    <row r="54" spans="1:31" s="1882" customFormat="1" ht="11.25" customHeight="1">
      <c r="A54" s="897"/>
      <c r="C54" s="1550"/>
      <c r="D54" s="1552"/>
      <c r="E54" s="470" t="str">
        <f>FHD_NUM_P_18</f>
        <v>2.5.2</v>
      </c>
      <c r="F54" s="1563"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559" t="s">
        <v>514</v>
      </c>
      <c r="H54" s="481"/>
      <c r="I54" s="481"/>
      <c r="J54" s="206" t="str">
        <f>FHD_NOTE_P_18</f>
        <v/>
      </c>
      <c r="K54" s="1550" t="str">
        <f t="shared" si="0"/>
        <v/>
      </c>
      <c r="L54" s="1550"/>
      <c r="M54" s="1555"/>
      <c r="N54" s="461"/>
      <c r="O54" s="461"/>
      <c r="R54" s="1550"/>
      <c r="U54" s="468"/>
      <c r="AA54" s="1546"/>
      <c r="AB54" s="1546"/>
      <c r="AC54" s="1546"/>
      <c r="AD54" s="1546"/>
      <c r="AE54" s="1546"/>
    </row>
    <row r="55" spans="1:31" s="1882" customFormat="1" ht="11.25" customHeight="1">
      <c r="A55" s="897"/>
      <c r="C55" s="1550"/>
      <c r="D55" s="499"/>
      <c r="E55" s="470" t="str">
        <f>FHD_NUM_P_19</f>
        <v>2.6</v>
      </c>
      <c r="F55" s="865" t="str">
        <f>FHD_P_19</f>
        <v>Расходы на амортизацию основных средств и нематериальных активов</v>
      </c>
      <c r="G55" s="1559" t="s">
        <v>514</v>
      </c>
      <c r="H55" s="481"/>
      <c r="I55" s="481"/>
      <c r="J55" s="206" t="str">
        <f>FHD_NOTE_P_19</f>
        <v/>
      </c>
      <c r="K55" s="1550" t="str">
        <f t="shared" si="0"/>
        <v>p</v>
      </c>
      <c r="L55" s="1550"/>
      <c r="M55" s="1550"/>
      <c r="R55" s="1550"/>
      <c r="U55" s="468"/>
      <c r="AA55" s="1546"/>
      <c r="AB55" s="1546"/>
      <c r="AC55" s="1546"/>
      <c r="AD55" s="1546"/>
      <c r="AE55" s="1546"/>
    </row>
    <row r="56" spans="1:31" s="1882" customFormat="1" ht="11.25" customHeight="1">
      <c r="A56" s="897"/>
      <c r="C56" s="1550"/>
      <c r="D56" s="499"/>
      <c r="E56" s="470" t="str">
        <f>FHD_NUM_P_20</f>
        <v>2.6.1</v>
      </c>
      <c r="F56" s="1563" t="str">
        <f>FHD_P_20</f>
        <v>Расходы на амортизацию основных средств</v>
      </c>
      <c r="G56" s="1559" t="s">
        <v>514</v>
      </c>
      <c r="H56" s="481"/>
      <c r="I56" s="481"/>
      <c r="J56" s="206" t="str">
        <f>FHD_NOTE_P_20</f>
        <v/>
      </c>
      <c r="K56" s="1550" t="str">
        <f t="shared" si="0"/>
        <v/>
      </c>
      <c r="L56" s="1550"/>
      <c r="M56" s="1550"/>
      <c r="R56" s="1550"/>
      <c r="U56" s="468"/>
      <c r="AA56" s="1546"/>
      <c r="AB56" s="1546"/>
      <c r="AC56" s="1546"/>
      <c r="AD56" s="1546"/>
      <c r="AE56" s="1546"/>
    </row>
    <row r="57" spans="1:31" s="1882" customFormat="1" ht="11.25" customHeight="1">
      <c r="A57" s="897"/>
      <c r="C57" s="1550"/>
      <c r="D57" s="499"/>
      <c r="E57" s="470" t="str">
        <f>FHD_NUM_P_21</f>
        <v>2.6.2</v>
      </c>
      <c r="F57" s="1563" t="str">
        <f>FHD_P_21</f>
        <v>Расходы на амортизацию нематериальных активов</v>
      </c>
      <c r="G57" s="1559" t="s">
        <v>514</v>
      </c>
      <c r="H57" s="481"/>
      <c r="I57" s="481"/>
      <c r="J57" s="206" t="str">
        <f>FHD_NOTE_P_21</f>
        <v/>
      </c>
      <c r="K57" s="1550" t="str">
        <f t="shared" si="0"/>
        <v/>
      </c>
      <c r="L57" s="1550"/>
      <c r="M57" s="1550"/>
      <c r="R57" s="1550"/>
      <c r="U57" s="468"/>
      <c r="AA57" s="1546"/>
      <c r="AB57" s="1546"/>
      <c r="AC57" s="1546"/>
      <c r="AD57" s="1546"/>
      <c r="AE57" s="1546"/>
    </row>
    <row r="58" spans="1:31" s="1882" customFormat="1" ht="11.25" customHeight="1">
      <c r="A58" s="897"/>
      <c r="C58" s="1550"/>
      <c r="D58" s="1552"/>
      <c r="E58" s="470" t="str">
        <f>FHD_NUM_P_22</f>
        <v>2.7</v>
      </c>
      <c r="F58" s="865" t="str">
        <f>FHD_P_22</f>
        <v>Расходы на аренду имущества, используемого для осуществления регулируемых видов деятельности в сфере водоотведения</v>
      </c>
      <c r="G58" s="1559" t="s">
        <v>514</v>
      </c>
      <c r="H58" s="481"/>
      <c r="I58" s="481"/>
      <c r="J58" s="206" t="str">
        <f>FHD_NOTE_P_22</f>
        <v/>
      </c>
      <c r="K58" s="1550" t="str">
        <f t="shared" si="0"/>
        <v>p</v>
      </c>
      <c r="L58" s="1550"/>
      <c r="M58" s="1550"/>
      <c r="R58" s="1550"/>
      <c r="U58" s="468"/>
      <c r="AA58" s="1546"/>
      <c r="AB58" s="1546"/>
      <c r="AC58" s="1546"/>
      <c r="AD58" s="1546"/>
      <c r="AE58" s="1546"/>
    </row>
    <row r="59" spans="1:31" s="1882" customFormat="1" ht="11.25" customHeight="1">
      <c r="A59" s="897"/>
      <c r="C59" s="1550"/>
      <c r="D59" s="499"/>
      <c r="E59" s="470" t="str">
        <f>FHD_NUM_P_23</f>
        <v>2.8</v>
      </c>
      <c r="F59" s="865" t="str">
        <f>FHD_P_23</f>
        <v>Общепроизводственные расходы, в том числе:</v>
      </c>
      <c r="G59" s="1559" t="s">
        <v>514</v>
      </c>
      <c r="H59" s="481"/>
      <c r="I59" s="481"/>
      <c r="J59" s="206" t="str">
        <f>FHD_NOTE_P_23</f>
        <v>Указывается общая сумма общепроизводственных расходов.</v>
      </c>
      <c r="K59" s="1550" t="str">
        <f t="shared" si="0"/>
        <v>p</v>
      </c>
      <c r="L59" s="1550"/>
      <c r="M59" s="1550"/>
      <c r="R59" s="1550"/>
      <c r="U59" s="468"/>
      <c r="AA59" s="1546"/>
      <c r="AB59" s="1546"/>
      <c r="AC59" s="1546"/>
      <c r="AD59" s="1546"/>
      <c r="AE59" s="1546"/>
    </row>
    <row r="60" spans="1:31" s="1882" customFormat="1" ht="11.25" customHeight="1">
      <c r="A60" s="897"/>
      <c r="C60" s="1550"/>
      <c r="D60" s="499"/>
      <c r="E60" s="470" t="str">
        <f>FHD_NUM_P_24</f>
        <v>2.8.1</v>
      </c>
      <c r="F60" s="1563" t="str">
        <f>FHD_P_24</f>
        <v>Расходы на текущий ремонт</v>
      </c>
      <c r="G60" s="1559" t="s">
        <v>514</v>
      </c>
      <c r="H60" s="481"/>
      <c r="I60" s="481"/>
      <c r="J60" s="206" t="str">
        <f>FHD_NOTE_P_24</f>
        <v>Указываются расходы на текущий ремонт, отнесенные к общепроизводственным расходам.</v>
      </c>
      <c r="K60" s="1550" t="str">
        <f t="shared" si="0"/>
        <v/>
      </c>
      <c r="L60" s="1550"/>
      <c r="M60" s="1550"/>
      <c r="R60" s="1550"/>
      <c r="U60" s="468"/>
      <c r="AA60" s="1546"/>
      <c r="AB60" s="1546"/>
      <c r="AC60" s="1546"/>
      <c r="AD60" s="1546"/>
      <c r="AE60" s="1546"/>
    </row>
    <row r="61" spans="1:31" s="1882" customFormat="1" ht="11.25" customHeight="1">
      <c r="A61" s="897"/>
      <c r="C61" s="1550"/>
      <c r="D61" s="499"/>
      <c r="E61" s="470" t="str">
        <f>FHD_NUM_P_25</f>
        <v>2.8.2</v>
      </c>
      <c r="F61" s="1563" t="str">
        <f>FHD_P_25</f>
        <v>Расходы на капитальный ремонт</v>
      </c>
      <c r="G61" s="1559" t="s">
        <v>514</v>
      </c>
      <c r="H61" s="481"/>
      <c r="I61" s="481"/>
      <c r="J61" s="206" t="str">
        <f>FHD_NOTE_P_25</f>
        <v>Указываются расходы на капитальный ремонт, отнесенные к общепроизводственным расходам.</v>
      </c>
      <c r="K61" s="1550" t="str">
        <f t="shared" si="0"/>
        <v/>
      </c>
      <c r="L61" s="1550"/>
      <c r="M61" s="1550"/>
      <c r="R61" s="1550"/>
      <c r="U61" s="468"/>
      <c r="AA61" s="1546"/>
      <c r="AB61" s="1546"/>
      <c r="AC61" s="1546"/>
      <c r="AD61" s="1546"/>
      <c r="AE61" s="1546"/>
    </row>
    <row r="62" spans="1:31" s="1882" customFormat="1" ht="11.25" customHeight="1">
      <c r="A62" s="897"/>
      <c r="C62" s="1550"/>
      <c r="D62" s="1552"/>
      <c r="E62" s="470" t="str">
        <f>FHD_NUM_P_26</f>
        <v>2.9</v>
      </c>
      <c r="F62" s="865" t="str">
        <f>FHD_P_26</f>
        <v>Общехозяйственные расходы, в том числе:</v>
      </c>
      <c r="G62" s="1559" t="s">
        <v>514</v>
      </c>
      <c r="H62" s="481"/>
      <c r="I62" s="481"/>
      <c r="J62" s="206" t="str">
        <f>FHD_NOTE_P_26</f>
        <v>Указывается общая сумма общехозяйственных расходов.</v>
      </c>
      <c r="K62" s="1550" t="str">
        <f t="shared" si="0"/>
        <v>p</v>
      </c>
      <c r="L62" s="1550"/>
      <c r="M62" s="1550"/>
      <c r="R62" s="1550"/>
      <c r="U62" s="468"/>
      <c r="AA62" s="1546"/>
      <c r="AB62" s="1546"/>
      <c r="AC62" s="1546"/>
      <c r="AD62" s="1546"/>
      <c r="AE62" s="1546"/>
    </row>
    <row r="63" spans="1:31" s="1882" customFormat="1" ht="11.25" customHeight="1">
      <c r="A63" s="897"/>
      <c r="C63" s="1550"/>
      <c r="D63" s="1552"/>
      <c r="E63" s="470" t="str">
        <f>FHD_NUM_P_27</f>
        <v>2.9.1</v>
      </c>
      <c r="F63" s="1563" t="str">
        <f>FHD_P_27</f>
        <v>Расходы на текущий ремонт</v>
      </c>
      <c r="G63" s="1559" t="s">
        <v>514</v>
      </c>
      <c r="H63" s="481"/>
      <c r="I63" s="481"/>
      <c r="J63" s="206" t="str">
        <f>FHD_NOTE_P_27</f>
        <v>Указываются расходы на текущий ремонт, отнесенные к общехозяйственным расходам.</v>
      </c>
      <c r="K63" s="1550" t="str">
        <f t="shared" si="0"/>
        <v/>
      </c>
      <c r="L63" s="1550"/>
      <c r="M63" s="1550"/>
      <c r="R63" s="1550"/>
      <c r="U63" s="468"/>
      <c r="AA63" s="1546"/>
      <c r="AB63" s="1546"/>
      <c r="AC63" s="1546"/>
      <c r="AD63" s="1546"/>
      <c r="AE63" s="1546"/>
    </row>
    <row r="64" spans="1:31" s="1882" customFormat="1" ht="11.25" customHeight="1">
      <c r="A64" s="897"/>
      <c r="C64" s="1550"/>
      <c r="D64" s="1552"/>
      <c r="E64" s="470" t="str">
        <f>FHD_NUM_P_28</f>
        <v>2.9.2</v>
      </c>
      <c r="F64" s="1563" t="str">
        <f>FHD_P_28</f>
        <v>Расходы на капитальный ремонт</v>
      </c>
      <c r="G64" s="1559" t="s">
        <v>514</v>
      </c>
      <c r="H64" s="481"/>
      <c r="I64" s="481"/>
      <c r="J64" s="206" t="str">
        <f>FHD_NOTE_P_28</f>
        <v>Указываются расходы на капитальный ремонт, отнесенные к общехозяйственным расходам.</v>
      </c>
      <c r="K64" s="1550" t="str">
        <f t="shared" si="0"/>
        <v/>
      </c>
      <c r="L64" s="1550"/>
      <c r="M64" s="1550"/>
      <c r="R64" s="1550"/>
      <c r="U64" s="468"/>
      <c r="AA64" s="1546"/>
      <c r="AB64" s="1546"/>
      <c r="AC64" s="1546"/>
      <c r="AD64" s="1546"/>
      <c r="AE64" s="1546"/>
    </row>
    <row r="65" spans="1:31" s="1882" customFormat="1" ht="11.25" customHeight="1">
      <c r="A65" s="897"/>
      <c r="C65" s="1550"/>
      <c r="D65" s="1552"/>
      <c r="E65" s="470" t="str">
        <f>FHD_NUM_P_29</f>
        <v>2.10</v>
      </c>
      <c r="F65" s="865" t="str">
        <f>FHD_P_29</f>
        <v>Расходы на капитальный и текущий ремонт основных средств</v>
      </c>
      <c r="G65" s="1559" t="s">
        <v>514</v>
      </c>
      <c r="H65" s="481"/>
      <c r="I65" s="481"/>
      <c r="J65" s="20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50" t="str">
        <f t="shared" si="0"/>
        <v>p</v>
      </c>
      <c r="L65" s="1550"/>
      <c r="M65" s="1550"/>
      <c r="R65" s="1550"/>
      <c r="U65" s="468"/>
      <c r="AA65" s="1546"/>
      <c r="AB65" s="1546"/>
      <c r="AC65" s="1546"/>
      <c r="AD65" s="1546"/>
      <c r="AE65" s="1546"/>
    </row>
    <row r="66" spans="1:31" s="1882" customFormat="1" ht="11.25" customHeight="1">
      <c r="A66" s="897"/>
      <c r="C66" s="1550"/>
      <c r="D66" s="1552"/>
      <c r="E66" s="470" t="str">
        <f>FHD_NUM_P_30</f>
        <v>2.10.1</v>
      </c>
      <c r="F66" s="156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559" t="s">
        <v>274</v>
      </c>
      <c r="H66" s="1562" t="s">
        <v>537</v>
      </c>
      <c r="I66" s="1562" t="s">
        <v>537</v>
      </c>
      <c r="J66" s="206" t="str">
        <f>FHD_NOTE_P_30</f>
        <v/>
      </c>
      <c r="K66" s="1550" t="str">
        <f t="shared" si="0"/>
        <v/>
      </c>
      <c r="L66" s="1550">
        <f>IFERROR(MATCH("есть",B_FHD_FLAG_INDEX_1,0),0)</f>
        <v>0</v>
      </c>
      <c r="M66" s="1550"/>
      <c r="R66" s="1550"/>
      <c r="U66" s="468"/>
      <c r="AA66" s="1546"/>
      <c r="AB66" s="1546"/>
      <c r="AC66" s="1546"/>
      <c r="AD66" s="1546"/>
      <c r="AE66" s="1546"/>
    </row>
    <row r="67" spans="1:31" s="1882" customFormat="1" ht="22.5" customHeight="1">
      <c r="A67" s="2222" t="s">
        <v>538</v>
      </c>
      <c r="C67" s="1550"/>
      <c r="D67" s="1552"/>
      <c r="E67" s="470" t="str">
        <f>FHD_NUM_P_31</f>
        <v>2.11</v>
      </c>
      <c r="F67" s="86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559" t="s">
        <v>514</v>
      </c>
      <c r="H67" s="481"/>
      <c r="I67" s="481"/>
      <c r="J67" s="20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50" t="str">
        <f t="shared" si="0"/>
        <v>p</v>
      </c>
      <c r="L67" s="1550"/>
      <c r="M67" s="1550"/>
      <c r="R67" s="1550"/>
      <c r="U67" s="468"/>
      <c r="AA67" s="1546"/>
      <c r="AB67" s="1546"/>
      <c r="AC67" s="1546"/>
      <c r="AD67" s="1546"/>
      <c r="AE67" s="1546"/>
    </row>
    <row r="68" spans="1:31" s="1882" customFormat="1" ht="45" customHeight="1">
      <c r="A68" s="2222"/>
      <c r="C68" s="1550"/>
      <c r="D68" s="1552"/>
      <c r="E68" s="470" t="str">
        <f>FHD_NUM_P_32</f>
        <v>2.11.1</v>
      </c>
      <c r="F68" s="1563"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559" t="s">
        <v>274</v>
      </c>
      <c r="H68" s="1562" t="s">
        <v>537</v>
      </c>
      <c r="I68" s="1562" t="s">
        <v>537</v>
      </c>
      <c r="J68" s="206" t="str">
        <f>FHD_NOTE_P_32</f>
        <v/>
      </c>
      <c r="K68" s="1550" t="str">
        <f t="shared" si="0"/>
        <v/>
      </c>
      <c r="L68" s="1550">
        <f>IFERROR(MATCH("есть",B_FHD_FLAG_INDEX_2,0),0)</f>
        <v>0</v>
      </c>
      <c r="M68" s="1550"/>
      <c r="R68" s="1550"/>
      <c r="U68" s="468"/>
      <c r="AA68" s="1546"/>
      <c r="AB68" s="1546"/>
      <c r="AC68" s="1546"/>
      <c r="AD68" s="1546"/>
      <c r="AE68" s="1546"/>
    </row>
    <row r="69" spans="1:31" s="1882" customFormat="1" ht="11.25" customHeight="1">
      <c r="A69" s="897"/>
      <c r="C69" s="1550"/>
      <c r="D69" s="1552"/>
      <c r="E69" s="470" t="str">
        <f>FHD_NUM_P_33</f>
        <v>2.12</v>
      </c>
      <c r="F69" s="865"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557" t="s">
        <v>514</v>
      </c>
      <c r="H69" s="503">
        <f>SUM(H70:H71)</f>
        <v>0</v>
      </c>
      <c r="I69" s="503">
        <f>SUM(I70:I71)</f>
        <v>0</v>
      </c>
      <c r="J69" s="20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50" t="str">
        <f t="shared" si="0"/>
        <v>p</v>
      </c>
      <c r="L69" s="1550"/>
      <c r="M69" s="1550"/>
      <c r="R69" s="1550"/>
      <c r="U69" s="468"/>
      <c r="AA69" s="1546"/>
      <c r="AB69" s="1546"/>
      <c r="AC69" s="1546"/>
      <c r="AD69" s="1546"/>
      <c r="AE69" s="1546"/>
    </row>
    <row r="70" spans="1:31" s="1903" customFormat="1" ht="0.75" customHeight="1">
      <c r="A70" s="1069"/>
      <c r="D70" s="472"/>
      <c r="E70" s="720" t="str">
        <f>E69&amp;".0"</f>
        <v>2.12.0</v>
      </c>
      <c r="F70" s="901"/>
      <c r="G70" s="475"/>
      <c r="H70" s="902"/>
      <c r="I70" s="902"/>
      <c r="J70" s="903"/>
      <c r="K70" s="1550" t="str">
        <f t="shared" si="0"/>
        <v/>
      </c>
    </row>
    <row r="71" spans="1:31" s="1882" customFormat="1" ht="14.25" customHeight="1">
      <c r="A71" s="897"/>
      <c r="C71" s="1550"/>
      <c r="D71" s="1547"/>
      <c r="E71" s="494"/>
      <c r="F71" s="495" t="s">
        <v>539</v>
      </c>
      <c r="G71" s="496"/>
      <c r="H71" s="497"/>
      <c r="I71" s="497"/>
      <c r="J71" s="218"/>
      <c r="K71" s="1550"/>
      <c r="L71" s="1550"/>
      <c r="M71" s="1550"/>
      <c r="R71" s="1550"/>
      <c r="U71" s="468"/>
      <c r="AA71" s="1546"/>
      <c r="AB71" s="1546"/>
      <c r="AC71" s="1546"/>
      <c r="AD71" s="1546"/>
      <c r="AE71" s="1546"/>
    </row>
    <row r="72" spans="1:31" s="1882" customFormat="1" ht="18.75" hidden="1" customHeight="1">
      <c r="A72" s="899" t="s">
        <v>540</v>
      </c>
      <c r="C72" s="1550"/>
      <c r="D72" s="1552"/>
      <c r="E72" s="470" t="str">
        <f>FHD_NUM_P_34</f>
        <v/>
      </c>
      <c r="F72" s="625" t="str">
        <f>FHD_P_34</f>
        <v/>
      </c>
      <c r="G72" s="1559" t="s">
        <v>514</v>
      </c>
      <c r="H72" s="481"/>
      <c r="I72" s="481"/>
      <c r="J72" s="206" t="str">
        <f>FHD_NOTE_P_34</f>
        <v/>
      </c>
      <c r="K72" s="467"/>
      <c r="L72" s="1550"/>
      <c r="M72" s="1550"/>
      <c r="R72" s="1550"/>
      <c r="U72" s="468"/>
      <c r="AA72" s="1546"/>
      <c r="AB72" s="1546"/>
      <c r="AC72" s="1546"/>
      <c r="AD72" s="1546"/>
      <c r="AE72" s="1546"/>
    </row>
    <row r="73" spans="1:31" s="1882" customFormat="1" ht="18.75" customHeight="1">
      <c r="A73" s="897"/>
      <c r="C73" s="1550"/>
      <c r="D73" s="499"/>
      <c r="E73" s="470" t="str">
        <f>FHD_NUM_P_35</f>
        <v>3</v>
      </c>
      <c r="F73" s="625" t="str">
        <f>FHD_P_35</f>
        <v>Чистая прибыль, полученная от регулируемого вида деятельности в сфере водоотведения, в том числе:</v>
      </c>
      <c r="G73" s="1559" t="s">
        <v>514</v>
      </c>
      <c r="H73" s="481"/>
      <c r="I73" s="481"/>
      <c r="J73" s="206" t="str">
        <f>FHD_NOTE_P_35</f>
        <v>Указывается общая сумма чистой прибыли, полученной от регулируемого вида деятельности.</v>
      </c>
      <c r="K73" s="467"/>
      <c r="L73" s="1550"/>
      <c r="M73" s="1550"/>
      <c r="R73" s="1550"/>
      <c r="U73" s="468"/>
      <c r="AA73" s="1546"/>
      <c r="AB73" s="1546"/>
      <c r="AC73" s="1546"/>
      <c r="AD73" s="1546"/>
      <c r="AE73" s="1546"/>
    </row>
    <row r="74" spans="1:31" s="1882" customFormat="1" ht="18.75" customHeight="1">
      <c r="A74" s="897"/>
      <c r="C74" s="1550"/>
      <c r="D74" s="1552"/>
      <c r="E74" s="470" t="str">
        <f>FHD_NUM_P_36</f>
        <v>3.1</v>
      </c>
      <c r="F74" s="86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559" t="s">
        <v>514</v>
      </c>
      <c r="H74" s="481"/>
      <c r="I74" s="481"/>
      <c r="J74" s="206" t="str">
        <f>FHD_NOTE_P_36</f>
        <v/>
      </c>
      <c r="K74" s="467"/>
      <c r="L74" s="1550"/>
      <c r="M74" s="1550"/>
      <c r="R74" s="1550"/>
      <c r="U74" s="468"/>
      <c r="AA74" s="1546"/>
      <c r="AB74" s="1546"/>
      <c r="AC74" s="1546"/>
      <c r="AD74" s="1546"/>
      <c r="AE74" s="1546"/>
    </row>
    <row r="75" spans="1:31" s="1882" customFormat="1" ht="18.75" customHeight="1">
      <c r="A75" s="897"/>
      <c r="C75" s="1550"/>
      <c r="D75" s="1552"/>
      <c r="E75" s="470" t="str">
        <f>FHD_NUM_P_37</f>
        <v>4</v>
      </c>
      <c r="F75" s="625" t="str">
        <f>FHD_P_37</f>
        <v>Изменение стоимости основных фондов, в том числе:</v>
      </c>
      <c r="G75" s="1559" t="s">
        <v>514</v>
      </c>
      <c r="H75" s="481"/>
      <c r="I75" s="481"/>
      <c r="J75" s="206" t="str">
        <f>FHD_NOTE_P_37</f>
        <v>Указывается общее изменение стоимости основных фондов.</v>
      </c>
      <c r="K75" s="467"/>
      <c r="L75" s="1550"/>
      <c r="M75" s="1550"/>
      <c r="R75" s="1550"/>
      <c r="U75" s="468"/>
      <c r="AA75" s="1546"/>
      <c r="AB75" s="1546"/>
      <c r="AC75" s="1546"/>
      <c r="AD75" s="1546"/>
      <c r="AE75" s="1546"/>
    </row>
    <row r="76" spans="1:31" s="1882" customFormat="1" ht="18.75" customHeight="1">
      <c r="A76" s="897"/>
      <c r="C76" s="1550"/>
      <c r="D76" s="1552"/>
      <c r="E76" s="470" t="str">
        <f>FHD_NUM_P_38</f>
        <v>4.1</v>
      </c>
      <c r="F76" s="865" t="str">
        <f>FHD_P_38</f>
        <v>Изменение стоимости основных фондов за счет их ввода в эксплуатацию (вывода из эксплуатации)</v>
      </c>
      <c r="G76" s="1559" t="s">
        <v>514</v>
      </c>
      <c r="H76" s="481"/>
      <c r="I76" s="481"/>
      <c r="J76" s="206" t="str">
        <f>FHD_NOTE_P_38</f>
        <v>Указываются общее изменение стоимости основных фондов за счет их ввода в эксплуатацию и вывода из эксплуатации.</v>
      </c>
      <c r="K76" s="467"/>
      <c r="L76" s="1550"/>
      <c r="M76" s="1550"/>
      <c r="R76" s="1550"/>
      <c r="U76" s="468"/>
      <c r="AA76" s="1546"/>
      <c r="AB76" s="1546"/>
      <c r="AC76" s="1546"/>
      <c r="AD76" s="1546"/>
      <c r="AE76" s="1546"/>
    </row>
    <row r="77" spans="1:31" s="1882" customFormat="1" ht="18.75" customHeight="1">
      <c r="A77" s="897"/>
      <c r="C77" s="1550"/>
      <c r="D77" s="1552"/>
      <c r="E77" s="470" t="str">
        <f>FHD_NUM_P_39</f>
        <v>4.1.1</v>
      </c>
      <c r="F77" s="1563" t="str">
        <f>FHD_P_39</f>
        <v>Изменение стоимости основных фондов за счет их ввода в эксплуатацию</v>
      </c>
      <c r="G77" s="1559" t="s">
        <v>514</v>
      </c>
      <c r="H77" s="481"/>
      <c r="I77" s="481"/>
      <c r="J77" s="206" t="str">
        <f>FHD_NOTE_P_39</f>
        <v>Указываются изменение стоимости основных фондов за счет их ввода в эксплуатацию.</v>
      </c>
      <c r="K77" s="467"/>
      <c r="L77" s="1550"/>
      <c r="M77" s="1550"/>
      <c r="R77" s="1550"/>
      <c r="U77" s="468"/>
      <c r="AA77" s="1546"/>
      <c r="AB77" s="1546"/>
      <c r="AC77" s="1546"/>
      <c r="AD77" s="1546"/>
      <c r="AE77" s="1546"/>
    </row>
    <row r="78" spans="1:31" s="1882" customFormat="1" ht="18.75" customHeight="1">
      <c r="A78" s="897"/>
      <c r="C78" s="1550"/>
      <c r="D78" s="1552"/>
      <c r="E78" s="470" t="str">
        <f>FHD_NUM_P_40</f>
        <v>4.1.2</v>
      </c>
      <c r="F78" s="1563" t="str">
        <f>FHD_P_40</f>
        <v>Изменение стоимости основных фондов за счет их вывода в эксплуатацию</v>
      </c>
      <c r="G78" s="1559" t="s">
        <v>514</v>
      </c>
      <c r="H78" s="481"/>
      <c r="I78" s="481"/>
      <c r="J78" s="206" t="str">
        <f>FHD_NOTE_P_40</f>
        <v>Указываются изменение стоимости основных фондов за счет их вывода из эксплуатации.</v>
      </c>
      <c r="K78" s="467"/>
      <c r="L78" s="1550"/>
      <c r="M78" s="1550"/>
      <c r="R78" s="1550"/>
      <c r="U78" s="468"/>
      <c r="AA78" s="1546"/>
      <c r="AB78" s="1546"/>
      <c r="AC78" s="1546"/>
      <c r="AD78" s="1546"/>
      <c r="AE78" s="1546"/>
    </row>
    <row r="79" spans="1:31" s="1882" customFormat="1" ht="18.75" customHeight="1">
      <c r="A79" s="897"/>
      <c r="C79" s="1550"/>
      <c r="D79" s="1552"/>
      <c r="E79" s="470" t="str">
        <f>FHD_NUM_P_41</f>
        <v>4.2</v>
      </c>
      <c r="F79" s="865" t="str">
        <f>FHD_P_41</f>
        <v>Изменение стоимости основных фондов за счет их переоценки</v>
      </c>
      <c r="G79" s="1557" t="s">
        <v>514</v>
      </c>
      <c r="H79" s="481"/>
      <c r="I79" s="481"/>
      <c r="J79" s="206" t="str">
        <f>FHD_NOTE_P_41</f>
        <v/>
      </c>
      <c r="K79" s="467"/>
      <c r="L79" s="1550"/>
      <c r="M79" s="1550"/>
      <c r="R79" s="1550"/>
      <c r="U79" s="468"/>
      <c r="AA79" s="1546"/>
      <c r="AB79" s="1546"/>
      <c r="AC79" s="1546"/>
      <c r="AD79" s="1546"/>
      <c r="AE79" s="1546"/>
    </row>
    <row r="80" spans="1:31" s="1882" customFormat="1" ht="18.75" customHeight="1">
      <c r="A80" s="899" t="s">
        <v>541</v>
      </c>
      <c r="C80" s="1550"/>
      <c r="D80" s="1552"/>
      <c r="E80" s="470" t="str">
        <f>FHD_NUM_P_42</f>
        <v>5</v>
      </c>
      <c r="F80" s="625" t="str">
        <f>FHD_P_42</f>
        <v>Валовая прибыль (убытки) от продажи товаров и услуг по регулируемым видам деятельности в сфере водоотведения</v>
      </c>
      <c r="G80" s="1559" t="s">
        <v>514</v>
      </c>
      <c r="H80" s="887"/>
      <c r="I80" s="481"/>
      <c r="J80" s="206" t="str">
        <f>FHD_NOTE_P_42</f>
        <v/>
      </c>
      <c r="K80" s="467"/>
      <c r="L80" s="1550"/>
      <c r="M80" s="1550"/>
      <c r="R80" s="1550"/>
      <c r="U80" s="468"/>
      <c r="AA80" s="1546"/>
      <c r="AB80" s="1546"/>
      <c r="AC80" s="1546"/>
      <c r="AD80" s="1546"/>
      <c r="AE80" s="1546"/>
    </row>
    <row r="81" spans="1:31" s="1882" customFormat="1" ht="18.75" customHeight="1">
      <c r="A81" s="897"/>
      <c r="C81" s="1550"/>
      <c r="D81" s="1552"/>
      <c r="E81" s="470" t="str">
        <f>FHD_NUM_P_43</f>
        <v>6</v>
      </c>
      <c r="F81" s="625" t="str">
        <f>FHD_P_43</f>
        <v>Годовая бухгалтерская (финансовая) отчетность, включая бухгалтерский баланс и приложения к нему</v>
      </c>
      <c r="G81" s="1559" t="s">
        <v>274</v>
      </c>
      <c r="H81" s="964"/>
      <c r="I81" s="736"/>
      <c r="J81" s="20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67"/>
      <c r="L81" s="1550"/>
      <c r="M81" s="1550"/>
      <c r="R81" s="1550"/>
      <c r="U81" s="468"/>
      <c r="AA81" s="1546"/>
      <c r="AB81" s="1546"/>
      <c r="AC81" s="1546"/>
      <c r="AD81" s="1546"/>
      <c r="AE81" s="1546"/>
    </row>
    <row r="82" spans="1:31" s="1908" customFormat="1" ht="18.75" hidden="1" customHeight="1">
      <c r="A82" s="2222" t="s">
        <v>542</v>
      </c>
      <c r="C82" s="654"/>
      <c r="D82" s="652"/>
      <c r="E82" s="470" t="str">
        <f>FHD_NUM_P_44</f>
        <v/>
      </c>
      <c r="F82" s="625" t="str">
        <f>FHD_P_44</f>
        <v/>
      </c>
      <c r="G82" s="639" t="s">
        <v>543</v>
      </c>
      <c r="H82" s="888"/>
      <c r="I82" s="501"/>
      <c r="J82" s="206" t="str">
        <f>FHD_NOTE_P_44</f>
        <v/>
      </c>
      <c r="K82" s="653"/>
      <c r="L82" s="654"/>
      <c r="M82" s="654"/>
      <c r="R82" s="654"/>
      <c r="U82" s="655"/>
      <c r="AA82" s="656"/>
      <c r="AB82" s="656"/>
      <c r="AC82" s="656"/>
      <c r="AD82" s="656"/>
      <c r="AE82" s="656"/>
    </row>
    <row r="83" spans="1:31" s="1908" customFormat="1" ht="18.75" hidden="1" customHeight="1">
      <c r="A83" s="2222"/>
      <c r="C83" s="654"/>
      <c r="D83" s="652"/>
      <c r="E83" s="470" t="str">
        <f>FHD_NUM_P_45</f>
        <v/>
      </c>
      <c r="F83" s="625" t="str">
        <f>FHD_P_45</f>
        <v/>
      </c>
      <c r="G83" s="639" t="s">
        <v>543</v>
      </c>
      <c r="H83" s="888"/>
      <c r="I83" s="501"/>
      <c r="J83" s="206" t="str">
        <f>FHD_NOTE_P_45</f>
        <v/>
      </c>
      <c r="K83" s="653"/>
      <c r="L83" s="654"/>
      <c r="M83" s="654"/>
      <c r="R83" s="654"/>
      <c r="U83" s="655"/>
      <c r="AA83" s="656"/>
      <c r="AB83" s="656"/>
      <c r="AC83" s="656"/>
      <c r="AD83" s="656"/>
      <c r="AE83" s="656"/>
    </row>
    <row r="84" spans="1:31" s="1908" customFormat="1" ht="18.75" hidden="1" customHeight="1">
      <c r="A84" s="2222"/>
      <c r="C84" s="654"/>
      <c r="D84" s="657"/>
      <c r="E84" s="470" t="str">
        <f>FHD_NUM_P_46</f>
        <v/>
      </c>
      <c r="F84" s="625" t="str">
        <f>FHD_P_46</f>
        <v/>
      </c>
      <c r="G84" s="639" t="s">
        <v>543</v>
      </c>
      <c r="H84" s="888"/>
      <c r="I84" s="501"/>
      <c r="J84" s="206" t="str">
        <f>FHD_NOTE_P_46</f>
        <v/>
      </c>
      <c r="K84" s="653"/>
      <c r="L84" s="654"/>
      <c r="M84" s="654"/>
      <c r="R84" s="654"/>
      <c r="U84" s="655"/>
      <c r="AA84" s="656"/>
      <c r="AB84" s="656"/>
      <c r="AC84" s="656"/>
      <c r="AD84" s="656"/>
      <c r="AE84" s="656"/>
    </row>
    <row r="85" spans="1:31" s="1908" customFormat="1" ht="18.75" hidden="1" customHeight="1">
      <c r="A85" s="2222"/>
      <c r="C85" s="654"/>
      <c r="D85" s="652"/>
      <c r="E85" s="470" t="str">
        <f>FHD_NUM_P_47</f>
        <v/>
      </c>
      <c r="F85" s="625" t="str">
        <f>FHD_P_47</f>
        <v/>
      </c>
      <c r="G85" s="639" t="s">
        <v>543</v>
      </c>
      <c r="H85" s="888"/>
      <c r="I85" s="501"/>
      <c r="J85" s="206" t="str">
        <f>FHD_NOTE_P_47</f>
        <v/>
      </c>
      <c r="K85" s="653"/>
      <c r="L85" s="654"/>
      <c r="M85" s="654"/>
      <c r="R85" s="654"/>
      <c r="U85" s="655"/>
      <c r="AA85" s="656"/>
      <c r="AB85" s="656"/>
      <c r="AC85" s="656"/>
      <c r="AD85" s="656"/>
      <c r="AE85" s="656"/>
    </row>
    <row r="86" spans="1:31" s="1909" customFormat="1" ht="18.75" hidden="1" customHeight="1">
      <c r="A86" s="2222"/>
      <c r="B86" s="825"/>
      <c r="C86" s="654"/>
      <c r="D86" s="652"/>
      <c r="E86" s="470" t="str">
        <f>FHD_NUM_P_48</f>
        <v/>
      </c>
      <c r="F86" s="625" t="str">
        <f>FHD_P_48</f>
        <v/>
      </c>
      <c r="G86" s="639" t="s">
        <v>543</v>
      </c>
      <c r="H86" s="888"/>
      <c r="I86" s="501"/>
      <c r="J86" s="206" t="str">
        <f>FHD_NOTE_P_48</f>
        <v/>
      </c>
      <c r="K86" s="653"/>
      <c r="L86" s="654"/>
      <c r="M86" s="654"/>
      <c r="N86" s="825"/>
      <c r="O86" s="825"/>
      <c r="P86" s="825"/>
      <c r="Q86" s="825"/>
      <c r="R86" s="654"/>
      <c r="S86" s="825"/>
      <c r="T86" s="825"/>
      <c r="U86" s="655"/>
      <c r="V86" s="825"/>
      <c r="W86" s="825"/>
      <c r="X86" s="825"/>
      <c r="Y86" s="825"/>
      <c r="Z86" s="825"/>
      <c r="AA86" s="656"/>
      <c r="AB86" s="656"/>
      <c r="AC86" s="656"/>
      <c r="AD86" s="656"/>
      <c r="AE86" s="656"/>
    </row>
    <row r="87" spans="1:31" s="1909" customFormat="1" ht="18.75" hidden="1" customHeight="1">
      <c r="A87" s="2222"/>
      <c r="B87" s="825"/>
      <c r="C87" s="654"/>
      <c r="D87" s="652"/>
      <c r="E87" s="470" t="str">
        <f>FHD_NUM_P_49</f>
        <v/>
      </c>
      <c r="F87" s="625" t="str">
        <f>FHD_P_49</f>
        <v/>
      </c>
      <c r="G87" s="639" t="s">
        <v>543</v>
      </c>
      <c r="H87" s="889">
        <f>SUM(H88:H89)</f>
        <v>0</v>
      </c>
      <c r="I87" s="667">
        <f>SUM(I88:I89)</f>
        <v>0</v>
      </c>
      <c r="J87" s="206" t="str">
        <f>FHD_NOTE_P_49</f>
        <v/>
      </c>
      <c r="K87" s="653"/>
      <c r="L87" s="654"/>
      <c r="M87" s="654"/>
      <c r="N87" s="825"/>
      <c r="O87" s="825"/>
      <c r="P87" s="825"/>
      <c r="Q87" s="825"/>
      <c r="R87" s="654"/>
      <c r="S87" s="825"/>
      <c r="T87" s="825"/>
      <c r="U87" s="655"/>
      <c r="V87" s="825"/>
      <c r="W87" s="825"/>
      <c r="X87" s="825"/>
      <c r="Y87" s="825"/>
      <c r="Z87" s="825"/>
      <c r="AA87" s="656"/>
      <c r="AB87" s="656"/>
      <c r="AC87" s="656"/>
      <c r="AD87" s="656"/>
      <c r="AE87" s="656"/>
    </row>
    <row r="88" spans="1:31" s="1909" customFormat="1" ht="18.75" hidden="1" customHeight="1">
      <c r="A88" s="2222"/>
      <c r="B88" s="825"/>
      <c r="C88" s="654"/>
      <c r="D88" s="652"/>
      <c r="E88" s="470" t="str">
        <f>FHD_NUM_P_50</f>
        <v/>
      </c>
      <c r="F88" s="625" t="str">
        <f>FHD_P_50</f>
        <v/>
      </c>
      <c r="G88" s="639" t="s">
        <v>543</v>
      </c>
      <c r="H88" s="888"/>
      <c r="I88" s="501"/>
      <c r="J88" s="206" t="str">
        <f>FHD_NOTE_P_50</f>
        <v/>
      </c>
      <c r="K88" s="653"/>
      <c r="L88" s="654"/>
      <c r="M88" s="654"/>
      <c r="N88" s="825"/>
      <c r="O88" s="825"/>
      <c r="P88" s="825"/>
      <c r="Q88" s="825"/>
      <c r="R88" s="654"/>
      <c r="S88" s="825"/>
      <c r="T88" s="825"/>
      <c r="U88" s="655"/>
      <c r="V88" s="825"/>
      <c r="W88" s="825"/>
      <c r="X88" s="825"/>
      <c r="Y88" s="825"/>
      <c r="Z88" s="825"/>
      <c r="AA88" s="656"/>
      <c r="AB88" s="656"/>
      <c r="AC88" s="656"/>
      <c r="AD88" s="656"/>
      <c r="AE88" s="656"/>
    </row>
    <row r="89" spans="1:31" s="1909" customFormat="1" ht="18.75" hidden="1" customHeight="1">
      <c r="A89" s="2222"/>
      <c r="B89" s="825"/>
      <c r="C89" s="654"/>
      <c r="D89" s="652"/>
      <c r="E89" s="470" t="str">
        <f>FHD_NUM_P_51</f>
        <v/>
      </c>
      <c r="F89" s="625" t="str">
        <f>FHD_P_51</f>
        <v/>
      </c>
      <c r="G89" s="639" t="s">
        <v>543</v>
      </c>
      <c r="H89" s="888"/>
      <c r="I89" s="501"/>
      <c r="J89" s="206" t="str">
        <f>FHD_NOTE_P_51</f>
        <v/>
      </c>
      <c r="K89" s="653"/>
      <c r="L89" s="654"/>
      <c r="M89" s="654"/>
      <c r="N89" s="825"/>
      <c r="O89" s="825"/>
      <c r="P89" s="825"/>
      <c r="Q89" s="825"/>
      <c r="R89" s="654"/>
      <c r="S89" s="825"/>
      <c r="T89" s="825"/>
      <c r="U89" s="655"/>
      <c r="V89" s="825"/>
      <c r="W89" s="825"/>
      <c r="X89" s="825"/>
      <c r="Y89" s="825"/>
      <c r="Z89" s="825"/>
      <c r="AA89" s="656"/>
      <c r="AB89" s="656"/>
      <c r="AC89" s="656"/>
      <c r="AD89" s="656"/>
      <c r="AE89" s="656"/>
    </row>
    <row r="90" spans="1:31" s="1909" customFormat="1" ht="18.75" hidden="1" customHeight="1">
      <c r="A90" s="2222"/>
      <c r="B90" s="825"/>
      <c r="C90" s="654"/>
      <c r="D90" s="652"/>
      <c r="E90" s="470" t="str">
        <f>FHD_NUM_P_52</f>
        <v/>
      </c>
      <c r="F90" s="625" t="str">
        <f>FHD_P_52</f>
        <v/>
      </c>
      <c r="G90" s="639" t="s">
        <v>520</v>
      </c>
      <c r="H90" s="887"/>
      <c r="I90" s="481"/>
      <c r="J90" s="206" t="str">
        <f>FHD_NOTE_P_52</f>
        <v/>
      </c>
      <c r="K90" s="653"/>
      <c r="L90" s="654"/>
      <c r="M90" s="654"/>
      <c r="N90" s="825"/>
      <c r="O90" s="825"/>
      <c r="P90" s="825"/>
      <c r="Q90" s="825"/>
      <c r="R90" s="654"/>
      <c r="S90" s="825"/>
      <c r="T90" s="825"/>
      <c r="U90" s="655"/>
      <c r="V90" s="825"/>
      <c r="W90" s="825"/>
      <c r="X90" s="825"/>
      <c r="Y90" s="825"/>
      <c r="Z90" s="825"/>
      <c r="AA90" s="656"/>
      <c r="AB90" s="656"/>
      <c r="AC90" s="656"/>
      <c r="AD90" s="656"/>
      <c r="AE90" s="656"/>
    </row>
    <row r="91" spans="1:31" s="1908" customFormat="1" ht="18.75" hidden="1" customHeight="1">
      <c r="A91" s="2222" t="s">
        <v>544</v>
      </c>
      <c r="C91" s="654"/>
      <c r="D91" s="652"/>
      <c r="E91" s="470" t="str">
        <f>FHD_NUM_P_53</f>
        <v/>
      </c>
      <c r="F91" s="625" t="str">
        <f>FHD_P_53</f>
        <v/>
      </c>
      <c r="G91" s="639" t="s">
        <v>543</v>
      </c>
      <c r="H91" s="888"/>
      <c r="I91" s="501"/>
      <c r="J91" s="206" t="str">
        <f>FHD_NOTE_P_53</f>
        <v/>
      </c>
      <c r="K91" s="653"/>
      <c r="L91" s="654"/>
      <c r="M91" s="654"/>
      <c r="R91" s="654"/>
      <c r="U91" s="655"/>
      <c r="AA91" s="656"/>
      <c r="AB91" s="656"/>
      <c r="AC91" s="656"/>
      <c r="AD91" s="656"/>
      <c r="AE91" s="656"/>
    </row>
    <row r="92" spans="1:31" s="1908" customFormat="1" ht="18.75" hidden="1" customHeight="1">
      <c r="A92" s="2222"/>
      <c r="C92" s="654"/>
      <c r="D92" s="652"/>
      <c r="E92" s="470" t="str">
        <f>FHD_NUM_P_54</f>
        <v/>
      </c>
      <c r="F92" s="625" t="str">
        <f>FHD_P_54</f>
        <v/>
      </c>
      <c r="G92" s="639" t="s">
        <v>543</v>
      </c>
      <c r="H92" s="888"/>
      <c r="I92" s="501"/>
      <c r="J92" s="206" t="str">
        <f>FHD_NOTE_P_54</f>
        <v/>
      </c>
      <c r="K92" s="653"/>
      <c r="L92" s="654"/>
      <c r="M92" s="654"/>
      <c r="R92" s="654"/>
      <c r="U92" s="655"/>
      <c r="AA92" s="656"/>
      <c r="AB92" s="656"/>
      <c r="AC92" s="656"/>
      <c r="AD92" s="656"/>
      <c r="AE92" s="656"/>
    </row>
    <row r="93" spans="1:31" s="1908" customFormat="1" ht="18.75" hidden="1" customHeight="1">
      <c r="A93" s="2222"/>
      <c r="C93" s="654"/>
      <c r="D93" s="657"/>
      <c r="E93" s="470" t="str">
        <f>FHD_NUM_P_55</f>
        <v/>
      </c>
      <c r="F93" s="625" t="str">
        <f>FHD_P_55</f>
        <v/>
      </c>
      <c r="G93" s="804"/>
      <c r="H93" s="888"/>
      <c r="I93" s="501"/>
      <c r="J93" s="206" t="str">
        <f>FHD_NOTE_P_55</f>
        <v/>
      </c>
      <c r="K93" s="653"/>
      <c r="L93" s="654"/>
      <c r="M93" s="654"/>
      <c r="R93" s="654"/>
      <c r="U93" s="655"/>
      <c r="AA93" s="656"/>
      <c r="AB93" s="656"/>
      <c r="AC93" s="656"/>
      <c r="AD93" s="656"/>
      <c r="AE93" s="656"/>
    </row>
    <row r="94" spans="1:31" s="1908" customFormat="1" ht="18.75" hidden="1" customHeight="1">
      <c r="A94" s="2222"/>
      <c r="C94" s="654"/>
      <c r="D94" s="652"/>
      <c r="E94" s="470" t="str">
        <f>FHD_NUM_P_56</f>
        <v/>
      </c>
      <c r="F94" s="625" t="str">
        <f>FHD_P_56</f>
        <v/>
      </c>
      <c r="G94" s="639" t="s">
        <v>545</v>
      </c>
      <c r="H94" s="888"/>
      <c r="I94" s="501"/>
      <c r="J94" s="206" t="str">
        <f>FHD_NOTE_P_56</f>
        <v/>
      </c>
      <c r="K94" s="653"/>
      <c r="L94" s="654"/>
      <c r="M94" s="654"/>
      <c r="R94" s="654"/>
      <c r="U94" s="655"/>
      <c r="AA94" s="656"/>
      <c r="AB94" s="656"/>
      <c r="AC94" s="656"/>
      <c r="AD94" s="656"/>
      <c r="AE94" s="656"/>
    </row>
    <row r="95" spans="1:31" s="1909" customFormat="1" ht="18.75" hidden="1" customHeight="1">
      <c r="A95" s="2222"/>
      <c r="B95" s="825"/>
      <c r="C95" s="654"/>
      <c r="D95" s="652"/>
      <c r="E95" s="470" t="str">
        <f>FHD_NUM_P_57</f>
        <v/>
      </c>
      <c r="F95" s="625" t="str">
        <f>FHD_P_57</f>
        <v/>
      </c>
      <c r="G95" s="639" t="s">
        <v>520</v>
      </c>
      <c r="H95" s="887"/>
      <c r="I95" s="481"/>
      <c r="J95" s="206" t="str">
        <f>FHD_NOTE_P_57</f>
        <v/>
      </c>
      <c r="K95" s="653"/>
      <c r="L95" s="654"/>
      <c r="M95" s="654"/>
      <c r="N95" s="825"/>
      <c r="O95" s="825"/>
      <c r="P95" s="825"/>
      <c r="Q95" s="825"/>
      <c r="R95" s="654"/>
      <c r="S95" s="825"/>
      <c r="T95" s="825"/>
      <c r="U95" s="655"/>
      <c r="V95" s="825"/>
      <c r="W95" s="825"/>
      <c r="X95" s="825"/>
      <c r="Y95" s="825"/>
      <c r="Z95" s="825"/>
      <c r="AA95" s="656"/>
      <c r="AB95" s="656"/>
      <c r="AC95" s="656"/>
      <c r="AD95" s="656"/>
      <c r="AE95" s="656"/>
    </row>
    <row r="96" spans="1:31" ht="18.75" customHeight="1">
      <c r="A96" s="2222" t="s">
        <v>546</v>
      </c>
      <c r="D96" s="1552"/>
      <c r="E96" s="470" t="str">
        <f>FHD_NUM_P_58</f>
        <v>7</v>
      </c>
      <c r="F96" s="625" t="str">
        <f>FHD_P_58</f>
        <v>Объём сточных вод, принятых от потребителей</v>
      </c>
      <c r="G96" s="639" t="s">
        <v>543</v>
      </c>
      <c r="H96" s="888"/>
      <c r="I96" s="501"/>
      <c r="J96" s="206" t="str">
        <f>FHD_NOTE_P_58</f>
        <v/>
      </c>
      <c r="K96" s="467"/>
    </row>
    <row r="97" spans="1:31" ht="18.75" customHeight="1">
      <c r="A97" s="2222"/>
      <c r="D97" s="1552"/>
      <c r="E97" s="470" t="str">
        <f>FHD_NUM_P_59</f>
        <v>8</v>
      </c>
      <c r="F97" s="625" t="str">
        <f>FHD_P_59</f>
        <v>Объём сточных вод, принятых от других регулируемых организаций, осуществляющих водоотведение и (или) очистку сточных вод</v>
      </c>
      <c r="G97" s="639" t="s">
        <v>543</v>
      </c>
      <c r="H97" s="888"/>
      <c r="I97" s="501"/>
      <c r="J97" s="206" t="str">
        <f>FHD_NOTE_P_59</f>
        <v/>
      </c>
      <c r="K97" s="467"/>
    </row>
    <row r="98" spans="1:31" ht="18.75" customHeight="1">
      <c r="A98" s="2222"/>
      <c r="D98" s="1552"/>
      <c r="E98" s="470" t="str">
        <f>FHD_NUM_P_60</f>
        <v>9</v>
      </c>
      <c r="F98" s="625" t="str">
        <f>FHD_P_60</f>
        <v>Объём сточных вод, пропущенных через очистные сооружения</v>
      </c>
      <c r="G98" s="639" t="s">
        <v>543</v>
      </c>
      <c r="H98" s="888"/>
      <c r="I98" s="501"/>
      <c r="J98" s="206" t="str">
        <f>FHD_NOTE_P_60</f>
        <v/>
      </c>
      <c r="K98" s="467"/>
    </row>
    <row r="99" spans="1:31" s="1882" customFormat="1" ht="18.75" hidden="1" customHeight="1">
      <c r="A99" s="2222" t="s">
        <v>547</v>
      </c>
      <c r="C99" s="1550"/>
      <c r="D99" s="1552"/>
      <c r="E99" s="470" t="str">
        <f>FHD_NUM_P_61</f>
        <v/>
      </c>
      <c r="F99" s="625" t="str">
        <f>FHD_P_61</f>
        <v/>
      </c>
      <c r="G99" s="1559" t="s">
        <v>518</v>
      </c>
      <c r="H99" s="890"/>
      <c r="I99" s="660"/>
      <c r="J99" s="206" t="str">
        <f>FHD_NOTE_P_61</f>
        <v/>
      </c>
      <c r="K99" s="467"/>
      <c r="L99" s="1550"/>
      <c r="M99" s="1550"/>
      <c r="R99" s="1550"/>
      <c r="U99" s="468"/>
      <c r="AA99" s="1546"/>
      <c r="AB99" s="1546"/>
      <c r="AC99" s="1546"/>
      <c r="AD99" s="1546"/>
      <c r="AE99" s="1546"/>
    </row>
    <row r="100" spans="1:31" s="1903" customFormat="1" ht="0.75" hidden="1" customHeight="1">
      <c r="A100" s="2222"/>
      <c r="D100" s="472"/>
      <c r="E100" s="720" t="str">
        <f>E99&amp;".0"</f>
        <v>.0</v>
      </c>
      <c r="F100" s="904"/>
      <c r="G100" s="905"/>
      <c r="H100" s="902"/>
      <c r="I100" s="902"/>
      <c r="J100" s="906"/>
    </row>
    <row r="101" spans="1:31" ht="15" hidden="1" customHeight="1">
      <c r="A101" s="2222"/>
      <c r="D101" s="1547"/>
      <c r="E101" s="882"/>
      <c r="F101" s="883" t="s">
        <v>548</v>
      </c>
      <c r="G101" s="496"/>
      <c r="H101" s="497"/>
      <c r="I101" s="497"/>
      <c r="J101" s="913" t="s">
        <v>549</v>
      </c>
      <c r="K101" s="467"/>
    </row>
    <row r="102" spans="1:31" s="1882" customFormat="1" ht="18.75" hidden="1" customHeight="1">
      <c r="A102" s="2222"/>
      <c r="C102" s="1550"/>
      <c r="D102" s="1552"/>
      <c r="E102" s="470" t="str">
        <f>FHD_NUM_P_62</f>
        <v/>
      </c>
      <c r="F102" s="625" t="str">
        <f>FHD_P_62</f>
        <v/>
      </c>
      <c r="G102" s="1556" t="s">
        <v>518</v>
      </c>
      <c r="H102" s="481"/>
      <c r="I102" s="481"/>
      <c r="J102" s="206" t="str">
        <f>FHD_NOTE_P_62</f>
        <v/>
      </c>
      <c r="K102" s="467"/>
      <c r="L102" s="1550"/>
      <c r="M102" s="1550"/>
      <c r="R102" s="1550"/>
      <c r="U102" s="468"/>
      <c r="AA102" s="1546"/>
      <c r="AB102" s="1546"/>
      <c r="AC102" s="1546"/>
      <c r="AD102" s="1546"/>
      <c r="AE102" s="1546"/>
    </row>
    <row r="103" spans="1:31" s="1882" customFormat="1" ht="18.75" hidden="1" customHeight="1">
      <c r="A103" s="2222"/>
      <c r="C103" s="1550"/>
      <c r="D103" s="1552"/>
      <c r="E103" s="470" t="str">
        <f>FHD_NUM_P_63</f>
        <v/>
      </c>
      <c r="F103" s="625" t="str">
        <f>FHD_P_63</f>
        <v/>
      </c>
      <c r="G103" s="1556" t="s">
        <v>545</v>
      </c>
      <c r="H103" s="501"/>
      <c r="I103" s="501"/>
      <c r="J103" s="206" t="str">
        <f>FHD_NOTE_P_63</f>
        <v/>
      </c>
      <c r="K103" s="467"/>
      <c r="L103" s="1550"/>
      <c r="M103" s="1550"/>
      <c r="R103" s="1550"/>
      <c r="U103" s="468"/>
      <c r="AA103" s="1546"/>
      <c r="AB103" s="1546"/>
      <c r="AC103" s="1546"/>
      <c r="AD103" s="1546"/>
      <c r="AE103" s="1546"/>
    </row>
    <row r="104" spans="1:31" s="1882" customFormat="1" ht="18.75" hidden="1" customHeight="1">
      <c r="A104" s="2222"/>
      <c r="C104" s="1550" t="s">
        <v>550</v>
      </c>
      <c r="D104" s="1552"/>
      <c r="E104" s="470" t="str">
        <f>FHD_NUM_P_64</f>
        <v/>
      </c>
      <c r="F104" s="625" t="str">
        <f>FHD_P_64</f>
        <v/>
      </c>
      <c r="G104" s="1556" t="s">
        <v>545</v>
      </c>
      <c r="H104" s="469"/>
      <c r="I104" s="469"/>
      <c r="J104" s="206" t="str">
        <f>FHD_NOTE_P_64</f>
        <v/>
      </c>
      <c r="K104" s="467"/>
      <c r="L104" s="1550"/>
      <c r="M104" s="1550"/>
      <c r="R104" s="1550"/>
      <c r="U104" s="468"/>
      <c r="AA104" s="1546"/>
      <c r="AB104" s="1546"/>
      <c r="AC104" s="1546"/>
      <c r="AD104" s="1546"/>
      <c r="AE104" s="1546"/>
    </row>
    <row r="105" spans="1:31" s="1882" customFormat="1" ht="18.75" hidden="1" customHeight="1">
      <c r="A105" s="2222"/>
      <c r="C105" s="1550"/>
      <c r="D105" s="1552"/>
      <c r="E105" s="470" t="str">
        <f>FHD_NUM_P_65</f>
        <v/>
      </c>
      <c r="F105" s="625" t="str">
        <f>FHD_P_65</f>
        <v/>
      </c>
      <c r="G105" s="1556" t="s">
        <v>545</v>
      </c>
      <c r="H105" s="501"/>
      <c r="I105" s="501"/>
      <c r="J105" s="206" t="str">
        <f>FHD_NOTE_P_65</f>
        <v/>
      </c>
      <c r="K105" s="467"/>
      <c r="L105" s="1550"/>
      <c r="M105" s="1550"/>
      <c r="R105" s="1550"/>
      <c r="U105" s="468"/>
      <c r="AA105" s="1546"/>
      <c r="AB105" s="1546"/>
      <c r="AC105" s="1546"/>
      <c r="AD105" s="1546"/>
      <c r="AE105" s="1546"/>
    </row>
    <row r="106" spans="1:31" s="1882" customFormat="1" ht="18.75" hidden="1" customHeight="1">
      <c r="A106" s="2222"/>
      <c r="C106" s="1550"/>
      <c r="D106" s="1552"/>
      <c r="E106" s="470" t="str">
        <f>FHD_NUM_P_66</f>
        <v/>
      </c>
      <c r="F106" s="865" t="str">
        <f>FHD_P_66</f>
        <v/>
      </c>
      <c r="G106" s="1556" t="s">
        <v>545</v>
      </c>
      <c r="H106" s="501"/>
      <c r="I106" s="501"/>
      <c r="J106" s="206" t="str">
        <f>FHD_NOTE_P_66</f>
        <v/>
      </c>
      <c r="K106" s="467"/>
      <c r="L106" s="1550"/>
      <c r="M106" s="1550"/>
      <c r="R106" s="1550"/>
      <c r="U106" s="468"/>
      <c r="AA106" s="1546"/>
      <c r="AB106" s="1546"/>
      <c r="AC106" s="1546"/>
      <c r="AD106" s="1546"/>
      <c r="AE106" s="1546"/>
    </row>
    <row r="107" spans="1:31" s="1882" customFormat="1" ht="18.75" hidden="1" customHeight="1">
      <c r="A107" s="2222"/>
      <c r="C107" s="1550"/>
      <c r="D107" s="1552"/>
      <c r="E107" s="470" t="str">
        <f>FHD_NUM_P_67</f>
        <v/>
      </c>
      <c r="F107" s="1563" t="str">
        <f>FHD_P_67</f>
        <v/>
      </c>
      <c r="G107" s="1556" t="s">
        <v>545</v>
      </c>
      <c r="H107" s="501"/>
      <c r="I107" s="501"/>
      <c r="J107" s="206" t="str">
        <f>FHD_NOTE_P_67</f>
        <v/>
      </c>
      <c r="K107" s="467"/>
      <c r="L107" s="1550"/>
      <c r="M107" s="1550"/>
      <c r="R107" s="1550"/>
      <c r="U107" s="468"/>
      <c r="AA107" s="1546"/>
      <c r="AB107" s="1546"/>
      <c r="AC107" s="1546"/>
      <c r="AD107" s="1546"/>
      <c r="AE107" s="1546"/>
    </row>
    <row r="108" spans="1:31" s="1882" customFormat="1" ht="18.75" hidden="1" customHeight="1">
      <c r="A108" s="2222"/>
      <c r="C108" s="1550"/>
      <c r="D108" s="1552"/>
      <c r="E108" s="470" t="str">
        <f>FHD_NUM_P_68</f>
        <v/>
      </c>
      <c r="F108" s="865" t="str">
        <f>FHD_P_68</f>
        <v/>
      </c>
      <c r="G108" s="1556" t="s">
        <v>545</v>
      </c>
      <c r="H108" s="501"/>
      <c r="I108" s="501"/>
      <c r="J108" s="206" t="str">
        <f>FHD_NOTE_P_68</f>
        <v/>
      </c>
      <c r="K108" s="467"/>
      <c r="L108" s="1550"/>
      <c r="M108" s="1550"/>
      <c r="R108" s="1550"/>
      <c r="U108" s="468"/>
      <c r="AA108" s="1546"/>
      <c r="AB108" s="1546"/>
      <c r="AC108" s="1546"/>
      <c r="AD108" s="1546"/>
      <c r="AE108" s="1546"/>
    </row>
    <row r="109" spans="1:31" s="1882" customFormat="1" ht="18.75" hidden="1" customHeight="1">
      <c r="A109" s="2222"/>
      <c r="C109" s="1550"/>
      <c r="D109" s="1552"/>
      <c r="E109" s="470" t="str">
        <f>FHD_NUM_P_69</f>
        <v/>
      </c>
      <c r="F109" s="865" t="str">
        <f>FHD_P_69</f>
        <v/>
      </c>
      <c r="G109" s="1556" t="s">
        <v>545</v>
      </c>
      <c r="H109" s="501"/>
      <c r="I109" s="501"/>
      <c r="J109" s="206" t="str">
        <f>FHD_NOTE_P_69</f>
        <v/>
      </c>
      <c r="K109" s="467"/>
      <c r="L109" s="1550"/>
      <c r="M109" s="1550"/>
      <c r="R109" s="1550"/>
      <c r="U109" s="468"/>
      <c r="AA109" s="1546"/>
      <c r="AB109" s="1546"/>
      <c r="AC109" s="1546"/>
      <c r="AD109" s="1546"/>
      <c r="AE109" s="1546"/>
    </row>
    <row r="110" spans="1:31" s="1882" customFormat="1" ht="22.5" hidden="1" customHeight="1">
      <c r="A110" s="2222"/>
      <c r="C110" s="1550"/>
      <c r="D110" s="1552"/>
      <c r="E110" s="470" t="str">
        <f>FHD_NUM_P_70</f>
        <v/>
      </c>
      <c r="F110" s="625" t="str">
        <f>FHD_P_70</f>
        <v/>
      </c>
      <c r="G110" s="1556" t="s">
        <v>551</v>
      </c>
      <c r="H110" s="481"/>
      <c r="I110" s="481"/>
      <c r="J110" s="206" t="str">
        <f>FHD_NOTE_P_70</f>
        <v/>
      </c>
      <c r="K110" s="467"/>
      <c r="L110" s="1550"/>
      <c r="M110" s="1550"/>
      <c r="R110" s="1550"/>
      <c r="U110" s="468"/>
      <c r="AA110" s="1546"/>
      <c r="AB110" s="1546"/>
      <c r="AC110" s="1546"/>
      <c r="AD110" s="1546"/>
      <c r="AE110" s="1546"/>
    </row>
    <row r="111" spans="1:31" s="1882" customFormat="1" ht="22.5" hidden="1" customHeight="1">
      <c r="A111" s="2222"/>
      <c r="C111" s="1550"/>
      <c r="D111" s="1552"/>
      <c r="E111" s="470" t="str">
        <f>FHD_NUM_P_71</f>
        <v/>
      </c>
      <c r="F111" s="625" t="str">
        <f>FHD_P_71</f>
        <v/>
      </c>
      <c r="G111" s="1556" t="s">
        <v>551</v>
      </c>
      <c r="H111" s="481"/>
      <c r="I111" s="481"/>
      <c r="J111" s="206" t="str">
        <f>FHD_NOTE_P_71</f>
        <v/>
      </c>
      <c r="K111" s="467"/>
      <c r="L111" s="1550"/>
      <c r="M111" s="1550"/>
      <c r="R111" s="1550"/>
      <c r="U111" s="468"/>
      <c r="AA111" s="1546"/>
      <c r="AB111" s="1546"/>
      <c r="AC111" s="1546"/>
      <c r="AD111" s="1546"/>
      <c r="AE111" s="1546"/>
    </row>
    <row r="112" spans="1:31" ht="18.75" customHeight="1">
      <c r="D112" s="1552"/>
      <c r="E112" s="470" t="str">
        <f>FHD_NUM_P_72</f>
        <v>10</v>
      </c>
      <c r="F112" s="625" t="str">
        <f>FHD_P_72</f>
        <v>Среднесписочная численность основного производственного персонала</v>
      </c>
      <c r="G112" s="880" t="s">
        <v>552</v>
      </c>
      <c r="H112" s="501"/>
      <c r="I112" s="501"/>
      <c r="J112" s="206" t="str">
        <f>FHD_NOTE_P_72</f>
        <v/>
      </c>
      <c r="K112" s="467"/>
    </row>
    <row r="113" spans="1:31" ht="18.75" hidden="1" customHeight="1">
      <c r="A113" s="899" t="s">
        <v>553</v>
      </c>
      <c r="D113" s="1552"/>
      <c r="E113" s="470" t="str">
        <f>FHD_NUM_P_73</f>
        <v/>
      </c>
      <c r="F113" s="625" t="str">
        <f>FHD_P_73</f>
        <v/>
      </c>
      <c r="G113" s="881" t="s">
        <v>552</v>
      </c>
      <c r="H113" s="879"/>
      <c r="I113" s="879"/>
      <c r="J113" s="206" t="str">
        <f>FHD_NOTE_P_73</f>
        <v/>
      </c>
      <c r="K113" s="467"/>
    </row>
    <row r="114" spans="1:31" ht="33.75" hidden="1" customHeight="1">
      <c r="A114" s="899" t="s">
        <v>554</v>
      </c>
      <c r="D114" s="1552"/>
      <c r="E114" s="470" t="str">
        <f>FHD_NUM_P_74</f>
        <v/>
      </c>
      <c r="F114" s="625" t="str">
        <f>FHD_P_74</f>
        <v/>
      </c>
      <c r="G114" s="880" t="s">
        <v>555</v>
      </c>
      <c r="H114" s="501"/>
      <c r="I114" s="501"/>
      <c r="J114" s="206" t="str">
        <f>FHD_NOTE_P_74</f>
        <v/>
      </c>
      <c r="K114" s="467"/>
    </row>
    <row r="115" spans="1:31" s="1909" customFormat="1" ht="18.75" hidden="1" customHeight="1">
      <c r="A115" s="2222" t="s">
        <v>556</v>
      </c>
      <c r="B115" s="825"/>
      <c r="C115" s="654"/>
      <c r="D115" s="652"/>
      <c r="E115" s="470" t="str">
        <f>FHD_NUM_P_75</f>
        <v/>
      </c>
      <c r="F115" s="625" t="str">
        <f>FHD_P_75</f>
        <v/>
      </c>
      <c r="G115" s="880" t="s">
        <v>520</v>
      </c>
      <c r="H115" s="481"/>
      <c r="I115" s="481"/>
      <c r="J115" s="206" t="str">
        <f>FHD_NOTE_P_75</f>
        <v/>
      </c>
      <c r="K115" s="653"/>
      <c r="L115" s="654"/>
      <c r="M115" s="654"/>
      <c r="N115" s="825"/>
      <c r="O115" s="825"/>
      <c r="P115" s="825"/>
      <c r="Q115" s="825"/>
      <c r="R115" s="654"/>
      <c r="S115" s="825"/>
      <c r="T115" s="825"/>
      <c r="U115" s="655"/>
      <c r="V115" s="825"/>
      <c r="W115" s="825"/>
      <c r="X115" s="825"/>
      <c r="Y115" s="825"/>
      <c r="Z115" s="825"/>
      <c r="AA115" s="656"/>
      <c r="AB115" s="656"/>
      <c r="AC115" s="656"/>
      <c r="AD115" s="656"/>
      <c r="AE115" s="656"/>
    </row>
    <row r="116" spans="1:31" s="1909" customFormat="1" ht="18.75" hidden="1" customHeight="1">
      <c r="A116" s="2222"/>
      <c r="B116" s="825"/>
      <c r="C116" s="654"/>
      <c r="D116" s="652"/>
      <c r="E116" s="470" t="str">
        <f>FHD_NUM_P_76</f>
        <v/>
      </c>
      <c r="F116" s="625" t="str">
        <f>FHD_P_76</f>
        <v/>
      </c>
      <c r="G116" s="880" t="s">
        <v>520</v>
      </c>
      <c r="H116" s="481"/>
      <c r="I116" s="481"/>
      <c r="J116" s="206" t="str">
        <f>FHD_NOTE_P_76</f>
        <v/>
      </c>
      <c r="K116" s="653"/>
      <c r="L116" s="654"/>
      <c r="M116" s="654"/>
      <c r="N116" s="825"/>
      <c r="O116" s="825"/>
      <c r="P116" s="825"/>
      <c r="Q116" s="825"/>
      <c r="R116" s="654"/>
      <c r="S116" s="825"/>
      <c r="T116" s="825"/>
      <c r="U116" s="655"/>
      <c r="V116" s="825"/>
      <c r="W116" s="825"/>
      <c r="X116" s="825"/>
      <c r="Y116" s="825"/>
      <c r="Z116" s="825"/>
      <c r="AA116" s="656"/>
      <c r="AB116" s="656"/>
      <c r="AC116" s="656"/>
      <c r="AD116" s="656"/>
      <c r="AE116" s="656"/>
    </row>
    <row r="117" spans="1:31" s="1909" customFormat="1" ht="18.75" hidden="1" customHeight="1">
      <c r="A117" s="2222"/>
      <c r="B117" s="825"/>
      <c r="C117" s="654"/>
      <c r="D117" s="652"/>
      <c r="E117" s="470" t="str">
        <f>FHD_NUM_P_77</f>
        <v/>
      </c>
      <c r="F117" s="625" t="str">
        <f>FHD_P_77</f>
        <v/>
      </c>
      <c r="G117" s="880" t="s">
        <v>520</v>
      </c>
      <c r="H117" s="481"/>
      <c r="I117" s="481"/>
      <c r="J117" s="206" t="str">
        <f>FHD_NOTE_P_77</f>
        <v/>
      </c>
      <c r="K117" s="653"/>
      <c r="L117" s="654"/>
      <c r="M117" s="654"/>
      <c r="N117" s="825"/>
      <c r="O117" s="825"/>
      <c r="P117" s="825"/>
      <c r="Q117" s="825"/>
      <c r="R117" s="654"/>
      <c r="S117" s="825"/>
      <c r="T117" s="825"/>
      <c r="U117" s="655"/>
      <c r="V117" s="825"/>
      <c r="W117" s="825"/>
      <c r="X117" s="825"/>
      <c r="Y117" s="825"/>
      <c r="Z117" s="825"/>
      <c r="AA117" s="656"/>
      <c r="AB117" s="656"/>
      <c r="AC117" s="656"/>
      <c r="AD117" s="656"/>
      <c r="AE117" s="656"/>
    </row>
    <row r="118" spans="1:31" s="1903" customFormat="1" ht="0.75" hidden="1" customHeight="1">
      <c r="A118" s="2222"/>
      <c r="D118" s="472"/>
      <c r="E118" s="720" t="str">
        <f>E117&amp;".0"</f>
        <v>.0</v>
      </c>
      <c r="F118" s="907"/>
      <c r="G118" s="1564"/>
      <c r="H118" s="902"/>
      <c r="I118" s="902"/>
      <c r="J118" s="906"/>
    </row>
    <row r="119" spans="1:31" s="1909" customFormat="1" ht="15" hidden="1" customHeight="1">
      <c r="A119" s="2222"/>
      <c r="B119" s="825"/>
      <c r="C119" s="654"/>
      <c r="D119" s="664"/>
      <c r="E119" s="884"/>
      <c r="F119" s="885" t="s">
        <v>557</v>
      </c>
      <c r="G119" s="665"/>
      <c r="H119" s="666"/>
      <c r="I119" s="666"/>
      <c r="J119" s="912" t="s">
        <v>558</v>
      </c>
      <c r="K119" s="653"/>
      <c r="L119" s="654"/>
      <c r="M119" s="654"/>
      <c r="N119" s="825"/>
      <c r="O119" s="825"/>
      <c r="P119" s="825"/>
      <c r="Q119" s="825"/>
      <c r="R119" s="654"/>
      <c r="S119" s="825"/>
      <c r="T119" s="825"/>
      <c r="U119" s="655"/>
      <c r="V119" s="825"/>
      <c r="W119" s="825"/>
      <c r="X119" s="825"/>
      <c r="Y119" s="825"/>
      <c r="Z119" s="825"/>
      <c r="AA119" s="656"/>
      <c r="AB119" s="656"/>
      <c r="AC119" s="656"/>
      <c r="AD119" s="656"/>
      <c r="AE119" s="656"/>
    </row>
    <row r="120" spans="1:31" ht="22.5" hidden="1" customHeight="1">
      <c r="A120" s="2222" t="s">
        <v>559</v>
      </c>
      <c r="D120" s="1552"/>
      <c r="E120" s="470" t="str">
        <f>FHD_NUM_P_78</f>
        <v/>
      </c>
      <c r="F120" s="625" t="str">
        <f>FHD_P_78</f>
        <v/>
      </c>
      <c r="G120" s="1556" t="s">
        <v>522</v>
      </c>
      <c r="H120" s="501"/>
      <c r="I120" s="501"/>
      <c r="J120" s="206" t="str">
        <f>FHD_NOTE_P_78</f>
        <v/>
      </c>
      <c r="K120" s="467"/>
    </row>
    <row r="121" spans="1:31" s="1903" customFormat="1" ht="0.75" hidden="1" customHeight="1">
      <c r="A121" s="2222"/>
      <c r="D121" s="472"/>
      <c r="E121" s="720" t="str">
        <f>E120&amp;".0"</f>
        <v>.0</v>
      </c>
      <c r="F121" s="907"/>
      <c r="G121" s="1564"/>
      <c r="H121" s="902"/>
      <c r="I121" s="902"/>
      <c r="J121" s="906"/>
    </row>
    <row r="122" spans="1:31" ht="15" hidden="1" customHeight="1">
      <c r="A122" s="2222"/>
      <c r="D122" s="1547"/>
      <c r="E122" s="494"/>
      <c r="F122" s="504" t="s">
        <v>548</v>
      </c>
      <c r="G122" s="496"/>
      <c r="H122" s="497"/>
      <c r="I122" s="497"/>
      <c r="J122" s="913" t="s">
        <v>560</v>
      </c>
      <c r="K122" s="467"/>
    </row>
    <row r="123" spans="1:31" ht="22.5" hidden="1" customHeight="1">
      <c r="A123" s="2222"/>
      <c r="D123" s="1552"/>
      <c r="E123" s="470" t="str">
        <f>FHD_NUM_P_79</f>
        <v/>
      </c>
      <c r="F123" s="625" t="str">
        <f>FHD_P_79</f>
        <v/>
      </c>
      <c r="G123" s="1559" t="s">
        <v>524</v>
      </c>
      <c r="H123" s="501"/>
      <c r="I123" s="501"/>
      <c r="J123" s="206" t="str">
        <f>FHD_NOTE_P_79</f>
        <v/>
      </c>
      <c r="K123" s="467"/>
    </row>
    <row r="124" spans="1:31" s="1903" customFormat="1" ht="0.75" hidden="1" customHeight="1">
      <c r="A124" s="2222"/>
      <c r="D124" s="472"/>
      <c r="E124" s="720" t="str">
        <f>E123&amp;".0"</f>
        <v>.0</v>
      </c>
      <c r="F124" s="908"/>
      <c r="G124" s="1564"/>
      <c r="H124" s="902"/>
      <c r="I124" s="902"/>
      <c r="J124" s="906"/>
    </row>
    <row r="125" spans="1:31" ht="15" hidden="1" customHeight="1">
      <c r="A125" s="2222"/>
      <c r="D125" s="1547"/>
      <c r="E125" s="494"/>
      <c r="F125" s="504" t="s">
        <v>548</v>
      </c>
      <c r="G125" s="496"/>
      <c r="H125" s="497"/>
      <c r="I125" s="497"/>
      <c r="J125" s="913" t="s">
        <v>561</v>
      </c>
      <c r="K125" s="467"/>
    </row>
    <row r="126" spans="1:31" ht="22.5" hidden="1" customHeight="1">
      <c r="A126" s="2222"/>
      <c r="D126" s="1552"/>
      <c r="E126" s="470" t="str">
        <f>FHD_NUM_P_80</f>
        <v/>
      </c>
      <c r="F126" s="625" t="str">
        <f>FHD_P_80</f>
        <v/>
      </c>
      <c r="G126" s="1559" t="s">
        <v>562</v>
      </c>
      <c r="H126" s="481"/>
      <c r="I126" s="481"/>
      <c r="J126" s="206" t="str">
        <f>FHD_NOTE_P_80</f>
        <v/>
      </c>
      <c r="K126" s="467"/>
    </row>
    <row r="127" spans="1:31" ht="18.75" hidden="1" customHeight="1">
      <c r="A127" s="2222"/>
      <c r="D127" s="1552"/>
      <c r="E127" s="470" t="str">
        <f>FHD_NUM_P_81</f>
        <v/>
      </c>
      <c r="F127" s="625" t="str">
        <f>FHD_P_81</f>
        <v/>
      </c>
      <c r="G127" s="1559" t="s">
        <v>563</v>
      </c>
      <c r="H127" s="481"/>
      <c r="I127" s="481"/>
      <c r="J127" s="206" t="str">
        <f>FHD_NOTE_P_81</f>
        <v/>
      </c>
      <c r="K127" s="467"/>
    </row>
    <row r="128" spans="1:31" ht="18.75" hidden="1" customHeight="1">
      <c r="A128" s="2222"/>
      <c r="C128" s="1550" t="s">
        <v>550</v>
      </c>
      <c r="D128" s="1552"/>
      <c r="E128" s="470" t="str">
        <f>FHD_NUM_P_82</f>
        <v/>
      </c>
      <c r="F128" s="625" t="str">
        <f>FHD_P_82</f>
        <v/>
      </c>
      <c r="G128" s="1559" t="s">
        <v>274</v>
      </c>
      <c r="H128" s="334"/>
      <c r="I128" s="334"/>
      <c r="J128" s="206" t="str">
        <f>FHD_NOTE_P_82</f>
        <v/>
      </c>
      <c r="K128" s="467"/>
    </row>
    <row r="129" spans="1:31" ht="18.75" hidden="1" customHeight="1">
      <c r="A129" s="2222"/>
      <c r="C129" s="1550" t="s">
        <v>550</v>
      </c>
      <c r="D129" s="1552"/>
      <c r="E129" s="470" t="str">
        <f>FHD_NUM_P_83</f>
        <v/>
      </c>
      <c r="F129" s="865" t="str">
        <f>FHD_P_83</f>
        <v/>
      </c>
      <c r="G129" s="1559" t="s">
        <v>274</v>
      </c>
      <c r="H129" s="334"/>
      <c r="I129" s="334"/>
      <c r="J129" s="206" t="str">
        <f>FHD_NOTE_P_83</f>
        <v/>
      </c>
      <c r="K129" s="467"/>
    </row>
    <row r="130" spans="1:31" ht="18.75" hidden="1" customHeight="1">
      <c r="A130" s="2222"/>
      <c r="C130" s="1550" t="s">
        <v>550</v>
      </c>
      <c r="D130" s="1552"/>
      <c r="E130" s="470" t="str">
        <f>FHD_NUM_P_84</f>
        <v/>
      </c>
      <c r="F130" s="865" t="str">
        <f>FHD_P_84</f>
        <v/>
      </c>
      <c r="G130" s="1559" t="s">
        <v>274</v>
      </c>
      <c r="H130" s="334"/>
      <c r="I130" s="334"/>
      <c r="J130" s="206" t="str">
        <f>FHD_NOTE_P_84</f>
        <v/>
      </c>
      <c r="K130" s="467"/>
    </row>
    <row r="131" spans="1:31" ht="11.25" customHeight="1">
      <c r="D131" s="1552"/>
    </row>
    <row r="132" spans="1:31" ht="12.75" customHeight="1">
      <c r="D132" s="1552"/>
      <c r="E132" s="261"/>
      <c r="F132" s="296"/>
      <c r="G132" s="296"/>
      <c r="H132" s="296"/>
      <c r="I132" s="1560"/>
      <c r="J132" s="505"/>
    </row>
    <row r="133" spans="1:31" s="1907" customFormat="1" ht="11.25" customHeight="1">
      <c r="A133" s="897"/>
      <c r="B133" s="1550"/>
      <c r="C133" s="1550"/>
      <c r="D133" s="275"/>
      <c r="F133" s="1554"/>
      <c r="G133" s="1545"/>
      <c r="H133" s="1545"/>
      <c r="I133" s="1545"/>
      <c r="K133" s="1062"/>
      <c r="L133" s="1550"/>
      <c r="M133" s="1550"/>
      <c r="N133" s="1062"/>
      <c r="O133" s="1062"/>
      <c r="P133" s="1062"/>
      <c r="Q133" s="1062"/>
      <c r="R133" s="1550"/>
      <c r="S133" s="1062"/>
      <c r="T133" s="1062"/>
      <c r="U133" s="468"/>
      <c r="V133" s="1062"/>
      <c r="W133" s="1062"/>
      <c r="X133" s="1062"/>
      <c r="Y133" s="1062"/>
      <c r="Z133" s="1062"/>
      <c r="AA133" s="1546"/>
      <c r="AB133" s="490"/>
      <c r="AC133" s="490"/>
      <c r="AD133" s="490"/>
      <c r="AE133" s="490"/>
    </row>
    <row r="134" spans="1:31" s="1907" customFormat="1" ht="11.25" customHeight="1">
      <c r="A134" s="897"/>
      <c r="B134" s="1550"/>
      <c r="C134" s="1550"/>
      <c r="D134" s="275"/>
      <c r="K134" s="1062"/>
      <c r="L134" s="1550"/>
      <c r="M134" s="1550"/>
      <c r="N134" s="1062"/>
      <c r="O134" s="1062"/>
      <c r="P134" s="1062"/>
      <c r="Q134" s="1062"/>
      <c r="R134" s="1550"/>
      <c r="S134" s="1062"/>
      <c r="T134" s="1062"/>
      <c r="U134" s="468"/>
      <c r="V134" s="1062"/>
      <c r="W134" s="1062"/>
      <c r="X134" s="1062"/>
      <c r="Y134" s="1062"/>
      <c r="Z134" s="1062"/>
      <c r="AA134" s="1546"/>
      <c r="AB134" s="490"/>
      <c r="AC134" s="490"/>
      <c r="AD134" s="490"/>
      <c r="AE134" s="490"/>
    </row>
    <row r="135" spans="1:31" s="1907" customFormat="1" ht="11.25" customHeight="1">
      <c r="A135" s="897"/>
      <c r="B135" s="1550"/>
      <c r="C135" s="1550"/>
      <c r="D135" s="275"/>
      <c r="K135" s="1062"/>
      <c r="L135" s="1550"/>
      <c r="M135" s="1550"/>
      <c r="N135" s="1062"/>
      <c r="O135" s="1062"/>
      <c r="P135" s="1062"/>
      <c r="Q135" s="1062"/>
      <c r="R135" s="1550"/>
      <c r="S135" s="1062"/>
      <c r="T135" s="1062"/>
      <c r="U135" s="468"/>
      <c r="V135" s="1062"/>
      <c r="W135" s="1062"/>
      <c r="X135" s="1062"/>
      <c r="Y135" s="1062"/>
      <c r="Z135" s="1062"/>
      <c r="AA135" s="1546"/>
      <c r="AB135" s="490"/>
      <c r="AC135" s="490"/>
      <c r="AD135" s="490"/>
      <c r="AE135" s="490"/>
    </row>
    <row r="136" spans="1:31" s="1907" customFormat="1" ht="11.25" customHeight="1">
      <c r="A136" s="897"/>
      <c r="B136" s="1550"/>
      <c r="C136" s="1550"/>
      <c r="D136" s="275"/>
      <c r="H136" s="490" t="str">
        <f>IF(H30-H31&lt;&gt;H72,"WARNING","")</f>
        <v/>
      </c>
      <c r="I136" s="490" t="str">
        <f>IF(I30-I31&lt;&gt;I72,"WARNING","")</f>
        <v/>
      </c>
      <c r="K136" s="1062"/>
      <c r="L136" s="1550"/>
      <c r="M136" s="1550"/>
      <c r="N136" s="1062"/>
      <c r="O136" s="1062"/>
      <c r="P136" s="1062"/>
      <c r="Q136" s="1062"/>
      <c r="R136" s="1550"/>
      <c r="S136" s="1062"/>
      <c r="T136" s="1062"/>
      <c r="U136" s="468"/>
      <c r="V136" s="1062"/>
      <c r="W136" s="1062"/>
      <c r="X136" s="1062"/>
      <c r="Y136" s="1062"/>
      <c r="Z136" s="1062"/>
      <c r="AA136" s="1546"/>
      <c r="AB136" s="490"/>
      <c r="AC136" s="490"/>
      <c r="AD136" s="490"/>
      <c r="AE136" s="490"/>
    </row>
    <row r="137" spans="1:31" s="1907" customFormat="1" ht="11.25" customHeight="1">
      <c r="A137" s="897"/>
      <c r="B137" s="1550"/>
      <c r="C137" s="1550"/>
      <c r="D137" s="275"/>
      <c r="K137" s="1062"/>
      <c r="L137" s="1550"/>
      <c r="M137" s="1550"/>
      <c r="N137" s="1062"/>
      <c r="O137" s="1062"/>
      <c r="P137" s="1062"/>
      <c r="Q137" s="1062"/>
      <c r="R137" s="1550"/>
      <c r="S137" s="1062"/>
      <c r="T137" s="1062"/>
      <c r="U137" s="468"/>
      <c r="V137" s="1062"/>
      <c r="W137" s="1062"/>
      <c r="X137" s="1062"/>
      <c r="Y137" s="1062"/>
      <c r="Z137" s="1062"/>
      <c r="AA137" s="1546"/>
      <c r="AB137" s="490"/>
      <c r="AC137" s="490"/>
      <c r="AD137" s="490"/>
      <c r="AE137" s="490"/>
    </row>
    <row r="138" spans="1:31" s="1907" customFormat="1" ht="11.25" customHeight="1">
      <c r="A138" s="897"/>
      <c r="B138" s="1550"/>
      <c r="C138" s="1550"/>
      <c r="D138" s="275"/>
      <c r="K138" s="1062"/>
      <c r="L138" s="1550"/>
      <c r="M138" s="1550"/>
      <c r="N138" s="1062"/>
      <c r="O138" s="1062"/>
      <c r="P138" s="1062"/>
      <c r="Q138" s="1062"/>
      <c r="R138" s="1550"/>
      <c r="S138" s="1062"/>
      <c r="T138" s="1062"/>
      <c r="U138" s="468"/>
      <c r="V138" s="1062"/>
      <c r="W138" s="1062"/>
      <c r="X138" s="1062"/>
      <c r="Y138" s="1062"/>
      <c r="Z138" s="1062"/>
      <c r="AA138" s="1546"/>
      <c r="AB138" s="490"/>
      <c r="AC138" s="490"/>
      <c r="AD138" s="490"/>
      <c r="AE138" s="490"/>
    </row>
    <row r="139" spans="1:31" s="1907" customFormat="1" ht="11.25" customHeight="1">
      <c r="A139" s="897"/>
      <c r="B139" s="1550"/>
      <c r="C139" s="1550"/>
      <c r="D139" s="275"/>
      <c r="K139" s="1062"/>
      <c r="L139" s="1550"/>
      <c r="M139" s="1550"/>
      <c r="N139" s="1062"/>
      <c r="O139" s="1062"/>
      <c r="P139" s="1062"/>
      <c r="Q139" s="1062"/>
      <c r="R139" s="1550"/>
      <c r="S139" s="1062"/>
      <c r="T139" s="1062"/>
      <c r="U139" s="468"/>
      <c r="V139" s="1062"/>
      <c r="W139" s="1062"/>
      <c r="X139" s="1062"/>
      <c r="Y139" s="1062"/>
      <c r="Z139" s="1062"/>
      <c r="AA139" s="1546"/>
      <c r="AB139" s="490"/>
      <c r="AC139" s="490"/>
      <c r="AD139" s="490"/>
      <c r="AE139" s="490"/>
    </row>
    <row r="140" spans="1:31" s="1907" customFormat="1" ht="11.25" customHeight="1">
      <c r="A140" s="897"/>
      <c r="B140" s="1550"/>
      <c r="C140" s="1550"/>
      <c r="D140" s="275"/>
      <c r="K140" s="1062"/>
      <c r="L140" s="1550"/>
      <c r="M140" s="1550"/>
      <c r="N140" s="1062"/>
      <c r="O140" s="1062"/>
      <c r="P140" s="1062"/>
      <c r="Q140" s="1062"/>
      <c r="R140" s="1550"/>
      <c r="S140" s="1062"/>
      <c r="T140" s="1062"/>
      <c r="U140" s="468"/>
      <c r="V140" s="1062"/>
      <c r="W140" s="1062"/>
      <c r="X140" s="1062"/>
      <c r="Y140" s="1062"/>
      <c r="Z140" s="1062"/>
      <c r="AA140" s="1546"/>
      <c r="AB140" s="490"/>
      <c r="AC140" s="490"/>
      <c r="AD140" s="490"/>
      <c r="AE140" s="490"/>
    </row>
    <row r="141" spans="1:31" s="1907" customFormat="1" ht="11.25" customHeight="1">
      <c r="A141" s="897"/>
      <c r="B141" s="1550"/>
      <c r="C141" s="1550"/>
      <c r="D141" s="275"/>
      <c r="K141" s="1062"/>
      <c r="L141" s="1550"/>
      <c r="M141" s="1550"/>
      <c r="N141" s="1062"/>
      <c r="O141" s="1062"/>
      <c r="P141" s="1062"/>
      <c r="Q141" s="1062"/>
      <c r="R141" s="1550"/>
      <c r="S141" s="1062"/>
      <c r="T141" s="1062"/>
      <c r="U141" s="468"/>
      <c r="V141" s="1062"/>
      <c r="W141" s="1062"/>
      <c r="X141" s="1062"/>
      <c r="Y141" s="1062"/>
      <c r="Z141" s="1062"/>
      <c r="AA141" s="1546"/>
      <c r="AB141" s="490"/>
      <c r="AC141" s="490"/>
      <c r="AD141" s="490"/>
      <c r="AE141" s="490"/>
    </row>
    <row r="142" spans="1:31" s="1907" customFormat="1" ht="11.25" customHeight="1">
      <c r="A142" s="897"/>
      <c r="B142" s="1550"/>
      <c r="C142" s="1550"/>
      <c r="D142" s="275"/>
      <c r="K142" s="1062"/>
      <c r="L142" s="1550"/>
      <c r="M142" s="1550"/>
      <c r="N142" s="1062"/>
      <c r="O142" s="1062"/>
      <c r="P142" s="1062"/>
      <c r="Q142" s="1062"/>
      <c r="R142" s="1550"/>
      <c r="S142" s="1062"/>
      <c r="T142" s="1062"/>
      <c r="U142" s="468"/>
      <c r="V142" s="1062"/>
      <c r="W142" s="1062"/>
      <c r="X142" s="1062"/>
      <c r="Y142" s="1062"/>
      <c r="Z142" s="1062"/>
      <c r="AA142" s="1546"/>
      <c r="AB142" s="490"/>
      <c r="AC142" s="490"/>
      <c r="AD142" s="490"/>
      <c r="AE142" s="490"/>
    </row>
    <row r="143" spans="1:31" s="1907" customFormat="1" ht="11.25" customHeight="1">
      <c r="A143" s="897"/>
      <c r="B143" s="1550"/>
      <c r="C143" s="1550"/>
      <c r="D143" s="275"/>
      <c r="K143" s="1062"/>
      <c r="L143" s="1550"/>
      <c r="M143" s="1550"/>
      <c r="N143" s="1062"/>
      <c r="O143" s="1062"/>
      <c r="P143" s="1062"/>
      <c r="Q143" s="1062"/>
      <c r="R143" s="1550"/>
      <c r="S143" s="1062"/>
      <c r="T143" s="1062"/>
      <c r="U143" s="468"/>
      <c r="V143" s="1062"/>
      <c r="W143" s="1062"/>
      <c r="X143" s="1062"/>
      <c r="Y143" s="1062"/>
      <c r="Z143" s="1062"/>
      <c r="AA143" s="1546"/>
      <c r="AB143" s="490"/>
      <c r="AC143" s="490"/>
      <c r="AD143" s="490"/>
      <c r="AE143" s="490"/>
    </row>
    <row r="144" spans="1:31" s="1907" customFormat="1" ht="11.25" customHeight="1">
      <c r="A144" s="897"/>
      <c r="B144" s="1550"/>
      <c r="C144" s="1550"/>
      <c r="D144" s="275"/>
      <c r="K144" s="1062"/>
      <c r="L144" s="1550"/>
      <c r="M144" s="1550"/>
      <c r="N144" s="1062"/>
      <c r="O144" s="1062"/>
      <c r="P144" s="1062"/>
      <c r="Q144" s="1062"/>
      <c r="R144" s="1550"/>
      <c r="S144" s="1062"/>
      <c r="T144" s="1062"/>
      <c r="U144" s="468"/>
      <c r="V144" s="1062"/>
      <c r="W144" s="1062"/>
      <c r="X144" s="1062"/>
      <c r="Y144" s="1062"/>
      <c r="Z144" s="1062"/>
      <c r="AA144" s="1546"/>
      <c r="AB144" s="490"/>
      <c r="AC144" s="490"/>
      <c r="AD144" s="490"/>
      <c r="AE144" s="490"/>
    </row>
    <row r="145" spans="1:31" s="1907" customFormat="1" ht="11.25" customHeight="1">
      <c r="A145" s="897"/>
      <c r="B145" s="1550"/>
      <c r="C145" s="1550"/>
      <c r="D145" s="275"/>
      <c r="K145" s="1062"/>
      <c r="L145" s="1550"/>
      <c r="M145" s="1550"/>
      <c r="N145" s="1062"/>
      <c r="O145" s="1062"/>
      <c r="P145" s="1062"/>
      <c r="Q145" s="1062"/>
      <c r="R145" s="1550"/>
      <c r="S145" s="1062"/>
      <c r="T145" s="1062"/>
      <c r="U145" s="468"/>
      <c r="V145" s="1062"/>
      <c r="W145" s="1062"/>
      <c r="X145" s="1062"/>
      <c r="Y145" s="1062"/>
      <c r="Z145" s="1062"/>
      <c r="AA145" s="1546"/>
      <c r="AB145" s="490"/>
      <c r="AC145" s="490"/>
      <c r="AD145" s="490"/>
      <c r="AE145" s="490"/>
    </row>
    <row r="146" spans="1:31" s="1907" customFormat="1" ht="11.25" customHeight="1">
      <c r="A146" s="897"/>
      <c r="B146" s="1550"/>
      <c r="C146" s="1550"/>
      <c r="D146" s="275"/>
      <c r="K146" s="1062"/>
      <c r="L146" s="1550"/>
      <c r="M146" s="1550"/>
      <c r="N146" s="1062"/>
      <c r="O146" s="1062"/>
      <c r="P146" s="1062"/>
      <c r="Q146" s="1062"/>
      <c r="R146" s="1550"/>
      <c r="S146" s="1062"/>
      <c r="T146" s="1062"/>
      <c r="U146" s="468"/>
      <c r="V146" s="1062"/>
      <c r="W146" s="1062"/>
      <c r="X146" s="1062"/>
      <c r="Y146" s="1062"/>
      <c r="Z146" s="1062"/>
      <c r="AA146" s="1546"/>
      <c r="AB146" s="490"/>
      <c r="AC146" s="490"/>
      <c r="AD146" s="490"/>
      <c r="AE146" s="490"/>
    </row>
    <row r="147" spans="1:31" s="1907" customFormat="1" ht="11.25" customHeight="1">
      <c r="A147" s="897"/>
      <c r="B147" s="1550"/>
      <c r="C147" s="1550"/>
      <c r="D147" s="275"/>
      <c r="K147" s="1062"/>
      <c r="L147" s="1550"/>
      <c r="M147" s="1550"/>
      <c r="N147" s="1062"/>
      <c r="O147" s="1062"/>
      <c r="P147" s="1062"/>
      <c r="Q147" s="1062"/>
      <c r="R147" s="1550"/>
      <c r="S147" s="1062"/>
      <c r="T147" s="1062"/>
      <c r="U147" s="468"/>
      <c r="V147" s="1062"/>
      <c r="W147" s="1062"/>
      <c r="X147" s="1062"/>
      <c r="Y147" s="1062"/>
      <c r="Z147" s="1062"/>
      <c r="AA147" s="1546"/>
      <c r="AB147" s="490"/>
      <c r="AC147" s="490"/>
      <c r="AD147" s="490"/>
      <c r="AE147" s="490"/>
    </row>
    <row r="148" spans="1:31" s="1907" customFormat="1" ht="11.25" customHeight="1">
      <c r="A148" s="897"/>
      <c r="B148" s="1550"/>
      <c r="C148" s="1550"/>
      <c r="D148" s="275"/>
      <c r="K148" s="1062"/>
      <c r="L148" s="1550"/>
      <c r="M148" s="1550"/>
      <c r="N148" s="1062"/>
      <c r="O148" s="1062"/>
      <c r="P148" s="1062"/>
      <c r="Q148" s="1062"/>
      <c r="R148" s="1550"/>
      <c r="S148" s="1062"/>
      <c r="T148" s="1062"/>
      <c r="U148" s="468"/>
      <c r="V148" s="1062"/>
      <c r="W148" s="1062"/>
      <c r="X148" s="1062"/>
      <c r="Y148" s="1062"/>
      <c r="Z148" s="1062"/>
      <c r="AA148" s="1546"/>
      <c r="AB148" s="490"/>
      <c r="AC148" s="490"/>
      <c r="AD148" s="490"/>
      <c r="AE148" s="490"/>
    </row>
    <row r="149" spans="1:31" s="1907" customFormat="1" ht="11.25" customHeight="1">
      <c r="A149" s="897"/>
      <c r="B149" s="1550"/>
      <c r="C149" s="1550"/>
      <c r="D149" s="275"/>
      <c r="K149" s="1062"/>
      <c r="L149" s="1550"/>
      <c r="M149" s="1550"/>
      <c r="N149" s="1062"/>
      <c r="O149" s="1062"/>
      <c r="P149" s="1062"/>
      <c r="Q149" s="1062"/>
      <c r="R149" s="1550"/>
      <c r="S149" s="1062"/>
      <c r="T149" s="1062"/>
      <c r="U149" s="468"/>
      <c r="V149" s="1062"/>
      <c r="W149" s="1062"/>
      <c r="X149" s="1062"/>
      <c r="Y149" s="1062"/>
      <c r="Z149" s="1062"/>
      <c r="AA149" s="1546"/>
      <c r="AB149" s="490"/>
      <c r="AC149" s="490"/>
      <c r="AD149" s="490"/>
      <c r="AE149" s="490"/>
    </row>
    <row r="150" spans="1:31" s="1907" customFormat="1" ht="11.25" customHeight="1">
      <c r="A150" s="897"/>
      <c r="B150" s="1550"/>
      <c r="C150" s="1550"/>
      <c r="D150" s="275"/>
      <c r="K150" s="1062"/>
      <c r="L150" s="1550"/>
      <c r="M150" s="1550"/>
      <c r="N150" s="1062"/>
      <c r="O150" s="1062"/>
      <c r="P150" s="1062"/>
      <c r="Q150" s="1062"/>
      <c r="R150" s="1550"/>
      <c r="S150" s="1062"/>
      <c r="T150" s="1062"/>
      <c r="U150" s="468"/>
      <c r="V150" s="1062"/>
      <c r="W150" s="1062"/>
      <c r="X150" s="1062"/>
      <c r="Y150" s="1062"/>
      <c r="Z150" s="1062"/>
      <c r="AA150" s="1546"/>
      <c r="AB150" s="490"/>
      <c r="AC150" s="490"/>
      <c r="AD150" s="490"/>
      <c r="AE150" s="490"/>
    </row>
    <row r="151" spans="1:31" s="1907" customFormat="1" ht="11.25" customHeight="1">
      <c r="A151" s="897"/>
      <c r="B151" s="1550"/>
      <c r="C151" s="1550"/>
      <c r="D151" s="275"/>
      <c r="K151" s="1062"/>
      <c r="L151" s="1550"/>
      <c r="M151" s="1550"/>
      <c r="N151" s="1062"/>
      <c r="O151" s="1062"/>
      <c r="P151" s="1062"/>
      <c r="Q151" s="1062"/>
      <c r="R151" s="1550"/>
      <c r="S151" s="1062"/>
      <c r="T151" s="1062"/>
      <c r="U151" s="468"/>
      <c r="V151" s="1062"/>
      <c r="W151" s="1062"/>
      <c r="X151" s="1062"/>
      <c r="Y151" s="1062"/>
      <c r="Z151" s="1062"/>
      <c r="AA151" s="1546"/>
      <c r="AB151" s="490"/>
      <c r="AC151" s="490"/>
      <c r="AD151" s="490"/>
      <c r="AE151" s="490"/>
    </row>
    <row r="152" spans="1:31" s="1907" customFormat="1" ht="11.25" customHeight="1">
      <c r="A152" s="897"/>
      <c r="B152" s="1550"/>
      <c r="C152" s="1550"/>
      <c r="D152" s="275"/>
      <c r="K152" s="1062"/>
      <c r="L152" s="1550"/>
      <c r="M152" s="1550"/>
      <c r="N152" s="1062"/>
      <c r="O152" s="1062"/>
      <c r="P152" s="1062"/>
      <c r="Q152" s="1062"/>
      <c r="R152" s="1550"/>
      <c r="S152" s="1062"/>
      <c r="T152" s="1062"/>
      <c r="U152" s="468"/>
      <c r="V152" s="1062"/>
      <c r="W152" s="1062"/>
      <c r="X152" s="1062"/>
      <c r="Y152" s="1062"/>
      <c r="Z152" s="1062"/>
      <c r="AA152" s="1546"/>
      <c r="AB152" s="490"/>
      <c r="AC152" s="490"/>
      <c r="AD152" s="490"/>
      <c r="AE152" s="490"/>
    </row>
    <row r="153" spans="1:31" s="1907" customFormat="1" ht="11.25" customHeight="1">
      <c r="A153" s="897"/>
      <c r="B153" s="1550"/>
      <c r="C153" s="1550"/>
      <c r="D153" s="275"/>
      <c r="K153" s="1062"/>
      <c r="L153" s="1550"/>
      <c r="M153" s="1550"/>
      <c r="N153" s="1062"/>
      <c r="O153" s="1062"/>
      <c r="P153" s="1062"/>
      <c r="Q153" s="1062"/>
      <c r="R153" s="1550"/>
      <c r="S153" s="1062"/>
      <c r="T153" s="1062"/>
      <c r="U153" s="468"/>
      <c r="V153" s="1062"/>
      <c r="W153" s="1062"/>
      <c r="X153" s="1062"/>
      <c r="Y153" s="1062"/>
      <c r="Z153" s="1062"/>
      <c r="AA153" s="1546"/>
      <c r="AB153" s="490"/>
      <c r="AC153" s="490"/>
      <c r="AD153" s="490"/>
      <c r="AE153" s="490"/>
    </row>
    <row r="154" spans="1:31" s="1907" customFormat="1" ht="11.25" customHeight="1">
      <c r="A154" s="897"/>
      <c r="B154" s="1550"/>
      <c r="C154" s="1550"/>
      <c r="D154" s="275"/>
      <c r="K154" s="1062"/>
      <c r="L154" s="1550"/>
      <c r="M154" s="1550"/>
      <c r="N154" s="1062"/>
      <c r="O154" s="1062"/>
      <c r="P154" s="1062"/>
      <c r="Q154" s="1062"/>
      <c r="R154" s="1550"/>
      <c r="S154" s="1062"/>
      <c r="T154" s="1062"/>
      <c r="U154" s="468"/>
      <c r="V154" s="1062"/>
      <c r="W154" s="1062"/>
      <c r="X154" s="1062"/>
      <c r="Y154" s="1062"/>
      <c r="Z154" s="1062"/>
      <c r="AA154" s="1546"/>
      <c r="AB154" s="490"/>
      <c r="AC154" s="490"/>
      <c r="AD154" s="490"/>
      <c r="AE154" s="490"/>
    </row>
    <row r="155" spans="1:31" s="1907" customFormat="1" ht="11.25" customHeight="1">
      <c r="A155" s="897"/>
      <c r="B155" s="1550"/>
      <c r="C155" s="1550"/>
      <c r="D155" s="275"/>
      <c r="K155" s="1062"/>
      <c r="L155" s="1550"/>
      <c r="M155" s="1550"/>
      <c r="N155" s="1062"/>
      <c r="O155" s="1062"/>
      <c r="P155" s="1062"/>
      <c r="Q155" s="1062"/>
      <c r="R155" s="1550"/>
      <c r="S155" s="1062"/>
      <c r="T155" s="1062"/>
      <c r="U155" s="468"/>
      <c r="V155" s="1062"/>
      <c r="W155" s="1062"/>
      <c r="X155" s="1062"/>
      <c r="Y155" s="1062"/>
      <c r="Z155" s="1062"/>
      <c r="AA155" s="1546"/>
      <c r="AB155" s="490"/>
      <c r="AC155" s="490"/>
      <c r="AD155" s="490"/>
      <c r="AE155" s="490"/>
    </row>
    <row r="156" spans="1:31" s="1907" customFormat="1" ht="11.25" customHeight="1">
      <c r="A156" s="897"/>
      <c r="B156" s="1550"/>
      <c r="C156" s="1550"/>
      <c r="D156" s="275"/>
      <c r="K156" s="1062"/>
      <c r="L156" s="1550"/>
      <c r="M156" s="1550"/>
      <c r="N156" s="1062"/>
      <c r="O156" s="1062"/>
      <c r="P156" s="1062"/>
      <c r="Q156" s="1062"/>
      <c r="R156" s="1550"/>
      <c r="S156" s="1062"/>
      <c r="T156" s="1062"/>
      <c r="U156" s="468"/>
      <c r="V156" s="1062"/>
      <c r="W156" s="1062"/>
      <c r="X156" s="1062"/>
      <c r="Y156" s="1062"/>
      <c r="Z156" s="1062"/>
      <c r="AA156" s="1546"/>
      <c r="AB156" s="490"/>
      <c r="AC156" s="490"/>
      <c r="AD156" s="490"/>
      <c r="AE156" s="490"/>
    </row>
    <row r="157" spans="1:31" s="1907" customFormat="1" ht="11.25" customHeight="1">
      <c r="A157" s="897"/>
      <c r="B157" s="1550"/>
      <c r="C157" s="1550"/>
      <c r="D157" s="275"/>
      <c r="K157" s="1062"/>
      <c r="L157" s="1550"/>
      <c r="M157" s="1550"/>
      <c r="N157" s="1062"/>
      <c r="O157" s="1062"/>
      <c r="P157" s="1062"/>
      <c r="Q157" s="1062"/>
      <c r="R157" s="1550"/>
      <c r="S157" s="1062"/>
      <c r="T157" s="1062"/>
      <c r="U157" s="468"/>
      <c r="V157" s="1062"/>
      <c r="W157" s="1062"/>
      <c r="X157" s="1062"/>
      <c r="Y157" s="1062"/>
      <c r="Z157" s="1062"/>
      <c r="AA157" s="1546"/>
      <c r="AB157" s="490"/>
      <c r="AC157" s="490"/>
      <c r="AD157" s="490"/>
      <c r="AE157" s="490"/>
    </row>
    <row r="158" spans="1:31" s="1907" customFormat="1" ht="11.25" customHeight="1">
      <c r="A158" s="897"/>
      <c r="B158" s="1550"/>
      <c r="C158" s="1550"/>
      <c r="D158" s="275"/>
      <c r="K158" s="1062"/>
      <c r="L158" s="1550"/>
      <c r="M158" s="1550"/>
      <c r="N158" s="1062"/>
      <c r="O158" s="1062"/>
      <c r="P158" s="1062"/>
      <c r="Q158" s="1062"/>
      <c r="R158" s="1550"/>
      <c r="S158" s="1062"/>
      <c r="T158" s="1062"/>
      <c r="U158" s="468"/>
      <c r="V158" s="1062"/>
      <c r="W158" s="1062"/>
      <c r="X158" s="1062"/>
      <c r="Y158" s="1062"/>
      <c r="Z158" s="1062"/>
      <c r="AA158" s="1546"/>
      <c r="AB158" s="490"/>
      <c r="AC158" s="490"/>
      <c r="AD158" s="490"/>
      <c r="AE158" s="490"/>
    </row>
    <row r="159" spans="1:31" s="1907" customFormat="1" ht="11.25" customHeight="1">
      <c r="A159" s="897"/>
      <c r="B159" s="1550"/>
      <c r="C159" s="1550"/>
      <c r="D159" s="275"/>
      <c r="K159" s="1062"/>
      <c r="L159" s="1550"/>
      <c r="M159" s="1550"/>
      <c r="N159" s="1062"/>
      <c r="O159" s="1062"/>
      <c r="P159" s="1062"/>
      <c r="Q159" s="1062"/>
      <c r="R159" s="1550"/>
      <c r="S159" s="1062"/>
      <c r="T159" s="1062"/>
      <c r="U159" s="468"/>
      <c r="V159" s="1062"/>
      <c r="W159" s="1062"/>
      <c r="X159" s="1062"/>
      <c r="Y159" s="1062"/>
      <c r="Z159" s="1062"/>
      <c r="AA159" s="1546"/>
      <c r="AB159" s="490"/>
      <c r="AC159" s="490"/>
      <c r="AD159" s="490"/>
      <c r="AE159" s="490"/>
    </row>
    <row r="160" spans="1:31" s="1907" customFormat="1" ht="11.25" customHeight="1">
      <c r="A160" s="897"/>
      <c r="B160" s="1550"/>
      <c r="C160" s="1550"/>
      <c r="D160" s="275"/>
      <c r="K160" s="1062"/>
      <c r="L160" s="1550"/>
      <c r="M160" s="1550"/>
      <c r="N160" s="1062"/>
      <c r="O160" s="1062"/>
      <c r="P160" s="1062"/>
      <c r="Q160" s="1062"/>
      <c r="R160" s="1550"/>
      <c r="S160" s="1062"/>
      <c r="T160" s="1062"/>
      <c r="U160" s="468"/>
      <c r="V160" s="1062"/>
      <c r="W160" s="1062"/>
      <c r="X160" s="1062"/>
      <c r="Y160" s="1062"/>
      <c r="Z160" s="1062"/>
      <c r="AA160" s="1546"/>
      <c r="AB160" s="490"/>
      <c r="AC160" s="490"/>
      <c r="AD160" s="490"/>
      <c r="AE160" s="490"/>
    </row>
    <row r="161" spans="1:31" s="1907" customFormat="1" ht="11.25" customHeight="1">
      <c r="A161" s="897"/>
      <c r="B161" s="1550"/>
      <c r="C161" s="1550"/>
      <c r="D161" s="275"/>
      <c r="K161" s="1062"/>
      <c r="L161" s="1550"/>
      <c r="M161" s="1550"/>
      <c r="N161" s="1062"/>
      <c r="O161" s="1062"/>
      <c r="P161" s="1062"/>
      <c r="Q161" s="1062"/>
      <c r="R161" s="1550"/>
      <c r="S161" s="1062"/>
      <c r="T161" s="1062"/>
      <c r="U161" s="468"/>
      <c r="V161" s="1062"/>
      <c r="W161" s="1062"/>
      <c r="X161" s="1062"/>
      <c r="Y161" s="1062"/>
      <c r="Z161" s="1062"/>
      <c r="AA161" s="1546"/>
      <c r="AB161" s="490"/>
      <c r="AC161" s="490"/>
      <c r="AD161" s="490"/>
      <c r="AE161" s="490"/>
    </row>
    <row r="162" spans="1:31" s="1907" customFormat="1" ht="11.25" customHeight="1">
      <c r="A162" s="897"/>
      <c r="B162" s="1550"/>
      <c r="C162" s="1550"/>
      <c r="D162" s="275"/>
      <c r="K162" s="1062"/>
      <c r="L162" s="1550"/>
      <c r="M162" s="1550"/>
      <c r="N162" s="1062"/>
      <c r="O162" s="1062"/>
      <c r="P162" s="1062"/>
      <c r="Q162" s="1062"/>
      <c r="R162" s="1550"/>
      <c r="S162" s="1062"/>
      <c r="T162" s="1062"/>
      <c r="U162" s="468"/>
      <c r="V162" s="1062"/>
      <c r="W162" s="1062"/>
      <c r="X162" s="1062"/>
      <c r="Y162" s="1062"/>
      <c r="Z162" s="1062"/>
      <c r="AA162" s="1546"/>
      <c r="AB162" s="490"/>
      <c r="AC162" s="490"/>
      <c r="AD162" s="490"/>
      <c r="AE162" s="490"/>
    </row>
    <row r="163" spans="1:31" s="1907" customFormat="1" ht="11.25" customHeight="1">
      <c r="A163" s="897"/>
      <c r="B163" s="1550"/>
      <c r="C163" s="1550"/>
      <c r="D163" s="275"/>
      <c r="K163" s="1062"/>
      <c r="L163" s="1550"/>
      <c r="M163" s="1550"/>
      <c r="N163" s="1062"/>
      <c r="O163" s="1062"/>
      <c r="P163" s="1062"/>
      <c r="Q163" s="1062"/>
      <c r="R163" s="1550"/>
      <c r="S163" s="1062"/>
      <c r="T163" s="1062"/>
      <c r="U163" s="468"/>
      <c r="V163" s="1062"/>
      <c r="W163" s="1062"/>
      <c r="X163" s="1062"/>
      <c r="Y163" s="1062"/>
      <c r="Z163" s="1062"/>
      <c r="AA163" s="1546"/>
      <c r="AB163" s="490"/>
      <c r="AC163" s="490"/>
      <c r="AD163" s="490"/>
      <c r="AE163" s="490"/>
    </row>
    <row r="164" spans="1:31" s="1907" customFormat="1" ht="11.25" customHeight="1">
      <c r="A164" s="897"/>
      <c r="B164" s="1550"/>
      <c r="C164" s="1550"/>
      <c r="D164" s="275"/>
      <c r="K164" s="1062"/>
      <c r="L164" s="1550"/>
      <c r="M164" s="1550"/>
      <c r="N164" s="1062"/>
      <c r="O164" s="1062"/>
      <c r="P164" s="1062"/>
      <c r="Q164" s="1062"/>
      <c r="R164" s="1550"/>
      <c r="S164" s="1062"/>
      <c r="T164" s="1062"/>
      <c r="U164" s="468"/>
      <c r="V164" s="1062"/>
      <c r="W164" s="1062"/>
      <c r="X164" s="1062"/>
      <c r="Y164" s="1062"/>
      <c r="Z164" s="1062"/>
      <c r="AA164" s="1546"/>
      <c r="AB164" s="490"/>
      <c r="AC164" s="490"/>
      <c r="AD164" s="490"/>
      <c r="AE164" s="490"/>
    </row>
    <row r="165" spans="1:31" s="1907" customFormat="1" ht="11.25" customHeight="1">
      <c r="A165" s="897"/>
      <c r="B165" s="1550"/>
      <c r="C165" s="1550"/>
      <c r="D165" s="275"/>
      <c r="K165" s="1062"/>
      <c r="L165" s="1550"/>
      <c r="M165" s="1550"/>
      <c r="N165" s="1062"/>
      <c r="O165" s="1062"/>
      <c r="P165" s="1062"/>
      <c r="Q165" s="1062"/>
      <c r="R165" s="1550"/>
      <c r="S165" s="1062"/>
      <c r="T165" s="1062"/>
      <c r="U165" s="468"/>
      <c r="V165" s="1062"/>
      <c r="W165" s="1062"/>
      <c r="X165" s="1062"/>
      <c r="Y165" s="1062"/>
      <c r="Z165" s="1062"/>
      <c r="AA165" s="1546"/>
      <c r="AB165" s="490"/>
      <c r="AC165" s="490"/>
      <c r="AD165" s="490"/>
      <c r="AE165" s="490"/>
    </row>
    <row r="166" spans="1:31" s="1907" customFormat="1" ht="11.25" customHeight="1">
      <c r="A166" s="897"/>
      <c r="B166" s="1550"/>
      <c r="C166" s="1550"/>
      <c r="D166" s="275"/>
      <c r="K166" s="1062"/>
      <c r="L166" s="1550"/>
      <c r="M166" s="1550"/>
      <c r="N166" s="1062"/>
      <c r="O166" s="1062"/>
      <c r="P166" s="1062"/>
      <c r="Q166" s="1062"/>
      <c r="R166" s="1550"/>
      <c r="S166" s="1062"/>
      <c r="T166" s="1062"/>
      <c r="U166" s="468"/>
      <c r="V166" s="1062"/>
      <c r="W166" s="1062"/>
      <c r="X166" s="1062"/>
      <c r="Y166" s="1062"/>
      <c r="Z166" s="1062"/>
      <c r="AA166" s="1546"/>
      <c r="AB166" s="490"/>
      <c r="AC166" s="490"/>
      <c r="AD166" s="490"/>
      <c r="AE166" s="490"/>
    </row>
    <row r="167" spans="1:31" s="1907" customFormat="1" ht="11.25" customHeight="1">
      <c r="A167" s="897"/>
      <c r="B167" s="1550"/>
      <c r="C167" s="1550"/>
      <c r="D167" s="275"/>
      <c r="K167" s="1062"/>
      <c r="L167" s="1550"/>
      <c r="M167" s="1550"/>
      <c r="N167" s="1062"/>
      <c r="O167" s="1062"/>
      <c r="P167" s="1062"/>
      <c r="Q167" s="1062"/>
      <c r="R167" s="1550"/>
      <c r="S167" s="1062"/>
      <c r="T167" s="1062"/>
      <c r="U167" s="468"/>
      <c r="V167" s="1062"/>
      <c r="W167" s="1062"/>
      <c r="X167" s="1062"/>
      <c r="Y167" s="1062"/>
      <c r="Z167" s="1062"/>
      <c r="AA167" s="1546"/>
      <c r="AB167" s="490"/>
      <c r="AC167" s="490"/>
      <c r="AD167" s="490"/>
      <c r="AE167" s="490"/>
    </row>
    <row r="168" spans="1:31" s="1907" customFormat="1" ht="11.25" customHeight="1">
      <c r="A168" s="897"/>
      <c r="B168" s="1550"/>
      <c r="C168" s="1550"/>
      <c r="D168" s="275"/>
      <c r="K168" s="1062"/>
      <c r="L168" s="1550"/>
      <c r="M168" s="1550"/>
      <c r="N168" s="1062"/>
      <c r="O168" s="1062"/>
      <c r="P168" s="1062"/>
      <c r="Q168" s="1062"/>
      <c r="R168" s="1550"/>
      <c r="S168" s="1062"/>
      <c r="T168" s="1062"/>
      <c r="U168" s="468"/>
      <c r="V168" s="1062"/>
      <c r="W168" s="1062"/>
      <c r="X168" s="1062"/>
      <c r="Y168" s="1062"/>
      <c r="Z168" s="1062"/>
      <c r="AA168" s="1546"/>
      <c r="AB168" s="490"/>
      <c r="AC168" s="490"/>
      <c r="AD168" s="490"/>
      <c r="AE168" s="490"/>
    </row>
    <row r="169" spans="1:31" s="1907" customFormat="1" ht="11.25" customHeight="1">
      <c r="A169" s="897"/>
      <c r="B169" s="1550"/>
      <c r="C169" s="1550"/>
      <c r="D169" s="275"/>
      <c r="K169" s="1062"/>
      <c r="L169" s="1550"/>
      <c r="M169" s="1550"/>
      <c r="N169" s="1062"/>
      <c r="O169" s="1062"/>
      <c r="P169" s="1062"/>
      <c r="Q169" s="1062"/>
      <c r="R169" s="1550"/>
      <c r="S169" s="1062"/>
      <c r="T169" s="1062"/>
      <c r="U169" s="468"/>
      <c r="V169" s="1062"/>
      <c r="W169" s="1062"/>
      <c r="X169" s="1062"/>
      <c r="Y169" s="1062"/>
      <c r="Z169" s="1062"/>
      <c r="AA169" s="1546"/>
      <c r="AB169" s="490"/>
      <c r="AC169" s="490"/>
      <c r="AD169" s="490"/>
      <c r="AE169" s="490"/>
    </row>
    <row r="170" spans="1:31" s="1907" customFormat="1" ht="11.25" customHeight="1">
      <c r="A170" s="897"/>
      <c r="B170" s="1550"/>
      <c r="C170" s="1550"/>
      <c r="D170" s="275"/>
      <c r="K170" s="1062"/>
      <c r="L170" s="1550"/>
      <c r="M170" s="1550"/>
      <c r="N170" s="1062"/>
      <c r="O170" s="1062"/>
      <c r="P170" s="1062"/>
      <c r="Q170" s="1062"/>
      <c r="R170" s="1550"/>
      <c r="S170" s="1062"/>
      <c r="T170" s="1062"/>
      <c r="U170" s="468"/>
      <c r="V170" s="1062"/>
      <c r="W170" s="1062"/>
      <c r="X170" s="1062"/>
      <c r="Y170" s="1062"/>
      <c r="Z170" s="1062"/>
      <c r="AA170" s="1546"/>
      <c r="AB170" s="490"/>
      <c r="AC170" s="490"/>
      <c r="AD170" s="490"/>
      <c r="AE170" s="490"/>
    </row>
    <row r="171" spans="1:31" s="1907" customFormat="1" ht="11.25" customHeight="1">
      <c r="A171" s="897"/>
      <c r="B171" s="1550"/>
      <c r="C171" s="1550"/>
      <c r="D171" s="275"/>
      <c r="K171" s="1062"/>
      <c r="L171" s="1550"/>
      <c r="M171" s="1550"/>
      <c r="N171" s="1062"/>
      <c r="O171" s="1062"/>
      <c r="P171" s="1062"/>
      <c r="Q171" s="1062"/>
      <c r="R171" s="1550"/>
      <c r="S171" s="1062"/>
      <c r="T171" s="1062"/>
      <c r="U171" s="468"/>
      <c r="V171" s="1062"/>
      <c r="W171" s="1062"/>
      <c r="X171" s="1062"/>
      <c r="Y171" s="1062"/>
      <c r="Z171" s="1062"/>
      <c r="AA171" s="1546"/>
      <c r="AB171" s="490"/>
      <c r="AC171" s="490"/>
      <c r="AD171" s="490"/>
      <c r="AE171" s="490"/>
    </row>
    <row r="172" spans="1:31" s="1907" customFormat="1" ht="11.25" customHeight="1">
      <c r="A172" s="897"/>
      <c r="B172" s="1550"/>
      <c r="C172" s="1550"/>
      <c r="D172" s="275"/>
      <c r="K172" s="1062"/>
      <c r="L172" s="1550"/>
      <c r="M172" s="1550"/>
      <c r="N172" s="1062"/>
      <c r="O172" s="1062"/>
      <c r="P172" s="1062"/>
      <c r="Q172" s="1062"/>
      <c r="R172" s="1550"/>
      <c r="S172" s="1062"/>
      <c r="T172" s="1062"/>
      <c r="U172" s="468"/>
      <c r="V172" s="1062"/>
      <c r="W172" s="1062"/>
      <c r="X172" s="1062"/>
      <c r="Y172" s="1062"/>
      <c r="Z172" s="1062"/>
      <c r="AA172" s="1546"/>
      <c r="AB172" s="490"/>
      <c r="AC172" s="490"/>
      <c r="AD172" s="490"/>
      <c r="AE172" s="490"/>
    </row>
    <row r="173" spans="1:31" s="1907" customFormat="1" ht="11.25" customHeight="1">
      <c r="A173" s="897"/>
      <c r="B173" s="1550"/>
      <c r="C173" s="1550"/>
      <c r="D173" s="275"/>
      <c r="K173" s="1062"/>
      <c r="L173" s="1550"/>
      <c r="M173" s="1550"/>
      <c r="N173" s="1062"/>
      <c r="O173" s="1062"/>
      <c r="P173" s="1062"/>
      <c r="Q173" s="1062"/>
      <c r="R173" s="1550"/>
      <c r="S173" s="1062"/>
      <c r="T173" s="1062"/>
      <c r="U173" s="468"/>
      <c r="V173" s="1062"/>
      <c r="W173" s="1062"/>
      <c r="X173" s="1062"/>
      <c r="Y173" s="1062"/>
      <c r="Z173" s="1062"/>
      <c r="AA173" s="1546"/>
      <c r="AB173" s="490"/>
      <c r="AC173" s="490"/>
      <c r="AD173" s="490"/>
      <c r="AE173" s="490"/>
    </row>
    <row r="174" spans="1:31" s="1907" customFormat="1" ht="11.25" customHeight="1">
      <c r="A174" s="897"/>
      <c r="B174" s="1550"/>
      <c r="C174" s="1550"/>
      <c r="D174" s="275"/>
      <c r="K174" s="1062"/>
      <c r="L174" s="1550"/>
      <c r="M174" s="1550"/>
      <c r="N174" s="1062"/>
      <c r="O174" s="1062"/>
      <c r="P174" s="1062"/>
      <c r="Q174" s="1062"/>
      <c r="R174" s="1550"/>
      <c r="S174" s="1062"/>
      <c r="T174" s="1062"/>
      <c r="U174" s="468"/>
      <c r="V174" s="1062"/>
      <c r="W174" s="1062"/>
      <c r="X174" s="1062"/>
      <c r="Y174" s="1062"/>
      <c r="Z174" s="1062"/>
      <c r="AA174" s="1546"/>
      <c r="AB174" s="490"/>
      <c r="AC174" s="490"/>
      <c r="AD174" s="490"/>
      <c r="AE174" s="490"/>
    </row>
    <row r="175" spans="1:31" s="1907" customFormat="1" ht="11.25" customHeight="1">
      <c r="A175" s="897"/>
      <c r="B175" s="1550"/>
      <c r="C175" s="1550"/>
      <c r="D175" s="275"/>
      <c r="K175" s="1062"/>
      <c r="L175" s="1550"/>
      <c r="M175" s="1550"/>
      <c r="N175" s="1062"/>
      <c r="O175" s="1062"/>
      <c r="P175" s="1062"/>
      <c r="Q175" s="1062"/>
      <c r="R175" s="1550"/>
      <c r="S175" s="1062"/>
      <c r="T175" s="1062"/>
      <c r="U175" s="468"/>
      <c r="V175" s="1062"/>
      <c r="W175" s="1062"/>
      <c r="X175" s="1062"/>
      <c r="Y175" s="1062"/>
      <c r="Z175" s="1062"/>
      <c r="AA175" s="1546"/>
      <c r="AB175" s="490"/>
      <c r="AC175" s="490"/>
      <c r="AD175" s="490"/>
      <c r="AE175" s="490"/>
    </row>
    <row r="176" spans="1:31" s="1907" customFormat="1" ht="11.25" customHeight="1">
      <c r="A176" s="897"/>
      <c r="B176" s="1550"/>
      <c r="C176" s="1550"/>
      <c r="D176" s="275"/>
      <c r="K176" s="1062"/>
      <c r="L176" s="1550"/>
      <c r="M176" s="1550"/>
      <c r="N176" s="1062"/>
      <c r="O176" s="1062"/>
      <c r="P176" s="1062"/>
      <c r="Q176" s="1062"/>
      <c r="R176" s="1550"/>
      <c r="S176" s="1062"/>
      <c r="T176" s="1062"/>
      <c r="U176" s="468"/>
      <c r="V176" s="1062"/>
      <c r="W176" s="1062"/>
      <c r="X176" s="1062"/>
      <c r="Y176" s="1062"/>
      <c r="Z176" s="1062"/>
      <c r="AA176" s="1546"/>
      <c r="AB176" s="490"/>
      <c r="AC176" s="490"/>
      <c r="AD176" s="490"/>
      <c r="AE176" s="490"/>
    </row>
    <row r="177" spans="1:31" s="1907" customFormat="1" ht="11.25" customHeight="1">
      <c r="A177" s="897"/>
      <c r="B177" s="1550"/>
      <c r="C177" s="1550"/>
      <c r="D177" s="275"/>
      <c r="K177" s="1062"/>
      <c r="L177" s="1550"/>
      <c r="M177" s="1550"/>
      <c r="N177" s="1062"/>
      <c r="O177" s="1062"/>
      <c r="P177" s="1062"/>
      <c r="Q177" s="1062"/>
      <c r="R177" s="1550"/>
      <c r="S177" s="1062"/>
      <c r="T177" s="1062"/>
      <c r="U177" s="468"/>
      <c r="V177" s="1062"/>
      <c r="W177" s="1062"/>
      <c r="X177" s="1062"/>
      <c r="Y177" s="1062"/>
      <c r="Z177" s="1062"/>
      <c r="AA177" s="1546"/>
      <c r="AB177" s="490"/>
      <c r="AC177" s="490"/>
      <c r="AD177" s="490"/>
      <c r="AE177" s="490"/>
    </row>
    <row r="178" spans="1:31" s="1907" customFormat="1" ht="11.25" customHeight="1">
      <c r="A178" s="897"/>
      <c r="B178" s="1550"/>
      <c r="C178" s="1550"/>
      <c r="D178" s="275"/>
      <c r="K178" s="1062"/>
      <c r="L178" s="1550"/>
      <c r="M178" s="1550"/>
      <c r="N178" s="1062"/>
      <c r="O178" s="1062"/>
      <c r="P178" s="1062"/>
      <c r="Q178" s="1062"/>
      <c r="R178" s="1550"/>
      <c r="S178" s="1062"/>
      <c r="T178" s="1062"/>
      <c r="U178" s="468"/>
      <c r="V178" s="1062"/>
      <c r="W178" s="1062"/>
      <c r="X178" s="1062"/>
      <c r="Y178" s="1062"/>
      <c r="Z178" s="1062"/>
      <c r="AA178" s="1546"/>
      <c r="AB178" s="490"/>
      <c r="AC178" s="490"/>
      <c r="AD178" s="490"/>
      <c r="AE178" s="490"/>
    </row>
    <row r="179" spans="1:31" s="1907" customFormat="1" ht="11.25" customHeight="1">
      <c r="A179" s="897"/>
      <c r="B179" s="1550"/>
      <c r="C179" s="1550"/>
      <c r="D179" s="275"/>
      <c r="K179" s="1062"/>
      <c r="L179" s="1550"/>
      <c r="M179" s="1550"/>
      <c r="N179" s="1062"/>
      <c r="O179" s="1062"/>
      <c r="P179" s="1062"/>
      <c r="Q179" s="1062"/>
      <c r="R179" s="1550"/>
      <c r="S179" s="1062"/>
      <c r="T179" s="1062"/>
      <c r="U179" s="468"/>
      <c r="V179" s="1062"/>
      <c r="W179" s="1062"/>
      <c r="X179" s="1062"/>
      <c r="Y179" s="1062"/>
      <c r="Z179" s="1062"/>
      <c r="AA179" s="1546"/>
      <c r="AB179" s="490"/>
      <c r="AC179" s="490"/>
      <c r="AD179" s="490"/>
      <c r="AE179" s="490"/>
    </row>
    <row r="180" spans="1:31" s="1907" customFormat="1" ht="11.25" customHeight="1">
      <c r="A180" s="897"/>
      <c r="B180" s="1550"/>
      <c r="C180" s="1550"/>
      <c r="D180" s="275"/>
      <c r="K180" s="1062"/>
      <c r="L180" s="1550"/>
      <c r="M180" s="1550"/>
      <c r="N180" s="1062"/>
      <c r="O180" s="1062"/>
      <c r="P180" s="1062"/>
      <c r="Q180" s="1062"/>
      <c r="R180" s="1550"/>
      <c r="S180" s="1062"/>
      <c r="T180" s="1062"/>
      <c r="U180" s="468"/>
      <c r="V180" s="1062"/>
      <c r="W180" s="1062"/>
      <c r="X180" s="1062"/>
      <c r="Y180" s="1062"/>
      <c r="Z180" s="1062"/>
      <c r="AA180" s="1546"/>
      <c r="AB180" s="490"/>
      <c r="AC180" s="490"/>
      <c r="AD180" s="490"/>
      <c r="AE180" s="490"/>
    </row>
    <row r="181" spans="1:31" s="1907" customFormat="1" ht="11.25" customHeight="1">
      <c r="A181" s="897"/>
      <c r="B181" s="1550"/>
      <c r="C181" s="1550"/>
      <c r="D181" s="275"/>
      <c r="K181" s="1062"/>
      <c r="L181" s="1550"/>
      <c r="M181" s="1550"/>
      <c r="N181" s="1062"/>
      <c r="O181" s="1062"/>
      <c r="P181" s="1062"/>
      <c r="Q181" s="1062"/>
      <c r="R181" s="1550"/>
      <c r="S181" s="1062"/>
      <c r="T181" s="1062"/>
      <c r="U181" s="468"/>
      <c r="V181" s="1062"/>
      <c r="W181" s="1062"/>
      <c r="X181" s="1062"/>
      <c r="Y181" s="1062"/>
      <c r="Z181" s="1062"/>
      <c r="AA181" s="1546"/>
      <c r="AB181" s="490"/>
      <c r="AC181" s="490"/>
      <c r="AD181" s="490"/>
      <c r="AE181" s="490"/>
    </row>
    <row r="182" spans="1:31" s="1907" customFormat="1" ht="11.25" customHeight="1">
      <c r="A182" s="897"/>
      <c r="B182" s="1550"/>
      <c r="C182" s="1550"/>
      <c r="D182" s="275"/>
      <c r="K182" s="1062"/>
      <c r="L182" s="1550"/>
      <c r="M182" s="1550"/>
      <c r="N182" s="1062"/>
      <c r="O182" s="1062"/>
      <c r="P182" s="1062"/>
      <c r="Q182" s="1062"/>
      <c r="R182" s="1550"/>
      <c r="S182" s="1062"/>
      <c r="T182" s="1062"/>
      <c r="U182" s="468"/>
      <c r="V182" s="1062"/>
      <c r="W182" s="1062"/>
      <c r="X182" s="1062"/>
      <c r="Y182" s="1062"/>
      <c r="Z182" s="1062"/>
      <c r="AA182" s="1546"/>
      <c r="AB182" s="490"/>
      <c r="AC182" s="490"/>
      <c r="AD182" s="490"/>
      <c r="AE182" s="490"/>
    </row>
    <row r="183" spans="1:31" s="1907" customFormat="1" ht="11.25" customHeight="1">
      <c r="A183" s="897"/>
      <c r="B183" s="1550"/>
      <c r="C183" s="1550"/>
      <c r="D183" s="275"/>
      <c r="K183" s="1062"/>
      <c r="L183" s="1550"/>
      <c r="M183" s="1550"/>
      <c r="N183" s="1062"/>
      <c r="O183" s="1062"/>
      <c r="P183" s="1062"/>
      <c r="Q183" s="1062"/>
      <c r="R183" s="1550"/>
      <c r="S183" s="1062"/>
      <c r="T183" s="1062"/>
      <c r="U183" s="468"/>
      <c r="V183" s="1062"/>
      <c r="W183" s="1062"/>
      <c r="X183" s="1062"/>
      <c r="Y183" s="1062"/>
      <c r="Z183" s="1062"/>
      <c r="AA183" s="1546"/>
      <c r="AB183" s="490"/>
      <c r="AC183" s="490"/>
      <c r="AD183" s="490"/>
      <c r="AE183" s="490"/>
    </row>
    <row r="184" spans="1:31" s="1907" customFormat="1" ht="11.25" customHeight="1">
      <c r="A184" s="897"/>
      <c r="B184" s="1550"/>
      <c r="C184" s="1550"/>
      <c r="D184" s="275"/>
      <c r="K184" s="1062"/>
      <c r="L184" s="1550"/>
      <c r="M184" s="1550"/>
      <c r="N184" s="1062"/>
      <c r="O184" s="1062"/>
      <c r="P184" s="1062"/>
      <c r="Q184" s="1062"/>
      <c r="R184" s="1550"/>
      <c r="S184" s="1062"/>
      <c r="T184" s="1062"/>
      <c r="U184" s="468"/>
      <c r="V184" s="1062"/>
      <c r="W184" s="1062"/>
      <c r="X184" s="1062"/>
      <c r="Y184" s="1062"/>
      <c r="Z184" s="1062"/>
      <c r="AA184" s="1546"/>
      <c r="AB184" s="490"/>
      <c r="AC184" s="490"/>
      <c r="AD184" s="490"/>
      <c r="AE184" s="490"/>
    </row>
    <row r="185" spans="1:31" s="1907" customFormat="1" ht="11.25" customHeight="1">
      <c r="A185" s="897"/>
      <c r="B185" s="1550"/>
      <c r="C185" s="1550"/>
      <c r="D185" s="275"/>
      <c r="K185" s="1062"/>
      <c r="L185" s="1550"/>
      <c r="M185" s="1550"/>
      <c r="N185" s="1062"/>
      <c r="O185" s="1062"/>
      <c r="P185" s="1062"/>
      <c r="Q185" s="1062"/>
      <c r="R185" s="1550"/>
      <c r="S185" s="1062"/>
      <c r="T185" s="1062"/>
      <c r="U185" s="468"/>
      <c r="V185" s="1062"/>
      <c r="W185" s="1062"/>
      <c r="X185" s="1062"/>
      <c r="Y185" s="1062"/>
      <c r="Z185" s="1062"/>
      <c r="AA185" s="1546"/>
      <c r="AB185" s="490"/>
      <c r="AC185" s="490"/>
      <c r="AD185" s="490"/>
      <c r="AE185" s="490"/>
    </row>
    <row r="186" spans="1:31" s="1907" customFormat="1" ht="11.25" customHeight="1">
      <c r="A186" s="897"/>
      <c r="B186" s="1550"/>
      <c r="C186" s="1550"/>
      <c r="D186" s="275"/>
      <c r="K186" s="1062"/>
      <c r="L186" s="1550"/>
      <c r="M186" s="1550"/>
      <c r="N186" s="1062"/>
      <c r="O186" s="1062"/>
      <c r="P186" s="1062"/>
      <c r="Q186" s="1062"/>
      <c r="R186" s="1550"/>
      <c r="S186" s="1062"/>
      <c r="T186" s="1062"/>
      <c r="U186" s="468"/>
      <c r="V186" s="1062"/>
      <c r="W186" s="1062"/>
      <c r="X186" s="1062"/>
      <c r="Y186" s="1062"/>
      <c r="Z186" s="1062"/>
      <c r="AA186" s="1546"/>
      <c r="AB186" s="490"/>
      <c r="AC186" s="490"/>
      <c r="AD186" s="490"/>
      <c r="AE186" s="490"/>
    </row>
    <row r="187" spans="1:31" s="1907" customFormat="1" ht="11.25" customHeight="1">
      <c r="A187" s="897"/>
      <c r="B187" s="1550"/>
      <c r="C187" s="1550"/>
      <c r="D187" s="275"/>
      <c r="K187" s="1062"/>
      <c r="L187" s="1550"/>
      <c r="M187" s="1550"/>
      <c r="N187" s="1062"/>
      <c r="O187" s="1062"/>
      <c r="P187" s="1062"/>
      <c r="Q187" s="1062"/>
      <c r="R187" s="1550"/>
      <c r="S187" s="1062"/>
      <c r="T187" s="1062"/>
      <c r="U187" s="468"/>
      <c r="V187" s="1062"/>
      <c r="W187" s="1062"/>
      <c r="X187" s="1062"/>
      <c r="Y187" s="1062"/>
      <c r="Z187" s="1062"/>
      <c r="AA187" s="1546"/>
      <c r="AB187" s="490"/>
      <c r="AC187" s="490"/>
      <c r="AD187" s="490"/>
      <c r="AE187" s="490"/>
    </row>
    <row r="188" spans="1:31" s="1907" customFormat="1" ht="11.25" customHeight="1">
      <c r="A188" s="897"/>
      <c r="B188" s="1550"/>
      <c r="C188" s="1550"/>
      <c r="D188" s="275"/>
      <c r="K188" s="1062"/>
      <c r="L188" s="1550"/>
      <c r="M188" s="1550"/>
      <c r="N188" s="1062"/>
      <c r="O188" s="1062"/>
      <c r="P188" s="1062"/>
      <c r="Q188" s="1062"/>
      <c r="R188" s="1550"/>
      <c r="S188" s="1062"/>
      <c r="T188" s="1062"/>
      <c r="U188" s="468"/>
      <c r="V188" s="1062"/>
      <c r="W188" s="1062"/>
      <c r="X188" s="1062"/>
      <c r="Y188" s="1062"/>
      <c r="Z188" s="1062"/>
      <c r="AA188" s="1546"/>
      <c r="AB188" s="490"/>
      <c r="AC188" s="490"/>
      <c r="AD188" s="490"/>
      <c r="AE188" s="490"/>
    </row>
    <row r="189" spans="1:31" s="1907" customFormat="1" ht="11.25" customHeight="1">
      <c r="A189" s="897"/>
      <c r="B189" s="1550"/>
      <c r="C189" s="1550"/>
      <c r="D189" s="275"/>
      <c r="K189" s="1062"/>
      <c r="L189" s="1550"/>
      <c r="M189" s="1550"/>
      <c r="N189" s="1062"/>
      <c r="O189" s="1062"/>
      <c r="P189" s="1062"/>
      <c r="Q189" s="1062"/>
      <c r="R189" s="1550"/>
      <c r="S189" s="1062"/>
      <c r="T189" s="1062"/>
      <c r="U189" s="468"/>
      <c r="V189" s="1062"/>
      <c r="W189" s="1062"/>
      <c r="X189" s="1062"/>
      <c r="Y189" s="1062"/>
      <c r="Z189" s="1062"/>
      <c r="AA189" s="1546"/>
      <c r="AB189" s="490"/>
      <c r="AC189" s="490"/>
      <c r="AD189" s="490"/>
      <c r="AE189" s="490"/>
    </row>
    <row r="190" spans="1:31" s="1907" customFormat="1" ht="11.25" customHeight="1">
      <c r="A190" s="897"/>
      <c r="B190" s="1550"/>
      <c r="C190" s="1550"/>
      <c r="D190" s="275"/>
      <c r="K190" s="1062"/>
      <c r="L190" s="1550"/>
      <c r="M190" s="1550"/>
      <c r="N190" s="1062"/>
      <c r="O190" s="1062"/>
      <c r="P190" s="1062"/>
      <c r="Q190" s="1062"/>
      <c r="R190" s="1550"/>
      <c r="S190" s="1062"/>
      <c r="T190" s="1062"/>
      <c r="U190" s="468"/>
      <c r="V190" s="1062"/>
      <c r="W190" s="1062"/>
      <c r="X190" s="1062"/>
      <c r="Y190" s="1062"/>
      <c r="Z190" s="1062"/>
      <c r="AA190" s="1546"/>
      <c r="AB190" s="490"/>
      <c r="AC190" s="490"/>
      <c r="AD190" s="490"/>
      <c r="AE190" s="490"/>
    </row>
    <row r="191" spans="1:31" s="1907" customFormat="1" ht="11.25" customHeight="1">
      <c r="A191" s="897"/>
      <c r="B191" s="1550"/>
      <c r="C191" s="1550"/>
      <c r="D191" s="275"/>
      <c r="K191" s="1062"/>
      <c r="L191" s="1550"/>
      <c r="M191" s="1550"/>
      <c r="N191" s="1062"/>
      <c r="O191" s="1062"/>
      <c r="P191" s="1062"/>
      <c r="Q191" s="1062"/>
      <c r="R191" s="1550"/>
      <c r="S191" s="1062"/>
      <c r="T191" s="1062"/>
      <c r="U191" s="468"/>
      <c r="V191" s="1062"/>
      <c r="W191" s="1062"/>
      <c r="X191" s="1062"/>
      <c r="Y191" s="1062"/>
      <c r="Z191" s="1062"/>
      <c r="AA191" s="1546"/>
      <c r="AB191" s="490"/>
      <c r="AC191" s="490"/>
      <c r="AD191" s="490"/>
      <c r="AE191" s="490"/>
    </row>
    <row r="192" spans="1:31" s="1907" customFormat="1" ht="11.25" customHeight="1">
      <c r="A192" s="897"/>
      <c r="B192" s="1550"/>
      <c r="C192" s="1550"/>
      <c r="D192" s="275"/>
      <c r="K192" s="1062"/>
      <c r="L192" s="1550"/>
      <c r="M192" s="1550"/>
      <c r="N192" s="1062"/>
      <c r="O192" s="1062"/>
      <c r="P192" s="1062"/>
      <c r="Q192" s="1062"/>
      <c r="R192" s="1550"/>
      <c r="S192" s="1062"/>
      <c r="T192" s="1062"/>
      <c r="U192" s="468"/>
      <c r="V192" s="1062"/>
      <c r="W192" s="1062"/>
      <c r="X192" s="1062"/>
      <c r="Y192" s="1062"/>
      <c r="Z192" s="1062"/>
      <c r="AA192" s="1546"/>
      <c r="AB192" s="490"/>
      <c r="AC192" s="490"/>
      <c r="AD192" s="490"/>
      <c r="AE192" s="490"/>
    </row>
    <row r="193" spans="1:31" s="1907" customFormat="1" ht="11.25" customHeight="1">
      <c r="A193" s="897"/>
      <c r="B193" s="1550"/>
      <c r="C193" s="1550"/>
      <c r="D193" s="275"/>
      <c r="K193" s="1062"/>
      <c r="L193" s="1550"/>
      <c r="M193" s="1550"/>
      <c r="N193" s="1062"/>
      <c r="O193" s="1062"/>
      <c r="P193" s="1062"/>
      <c r="Q193" s="1062"/>
      <c r="R193" s="1550"/>
      <c r="S193" s="1062"/>
      <c r="T193" s="1062"/>
      <c r="U193" s="468"/>
      <c r="V193" s="1062"/>
      <c r="W193" s="1062"/>
      <c r="X193" s="1062"/>
      <c r="Y193" s="1062"/>
      <c r="Z193" s="1062"/>
      <c r="AA193" s="1546"/>
      <c r="AB193" s="490"/>
      <c r="AC193" s="490"/>
      <c r="AD193" s="490"/>
      <c r="AE193" s="490"/>
    </row>
    <row r="194" spans="1:31" s="1907" customFormat="1" ht="11.25" customHeight="1">
      <c r="A194" s="897"/>
      <c r="B194" s="1550"/>
      <c r="C194" s="1550"/>
      <c r="D194" s="275"/>
      <c r="K194" s="1062"/>
      <c r="L194" s="1550"/>
      <c r="M194" s="1550"/>
      <c r="N194" s="1062"/>
      <c r="O194" s="1062"/>
      <c r="P194" s="1062"/>
      <c r="Q194" s="1062"/>
      <c r="R194" s="1550"/>
      <c r="S194" s="1062"/>
      <c r="T194" s="1062"/>
      <c r="U194" s="468"/>
      <c r="V194" s="1062"/>
      <c r="W194" s="1062"/>
      <c r="X194" s="1062"/>
      <c r="Y194" s="1062"/>
      <c r="Z194" s="1062"/>
      <c r="AA194" s="1546"/>
      <c r="AB194" s="490"/>
      <c r="AC194" s="490"/>
      <c r="AD194" s="490"/>
      <c r="AE194" s="490"/>
    </row>
    <row r="195" spans="1:31" s="1907" customFormat="1" ht="11.25" customHeight="1">
      <c r="A195" s="897"/>
      <c r="B195" s="1550"/>
      <c r="C195" s="1550"/>
      <c r="D195" s="275"/>
      <c r="K195" s="1062"/>
      <c r="L195" s="1550"/>
      <c r="M195" s="1550"/>
      <c r="N195" s="1062"/>
      <c r="O195" s="1062"/>
      <c r="P195" s="1062"/>
      <c r="Q195" s="1062"/>
      <c r="R195" s="1550"/>
      <c r="S195" s="1062"/>
      <c r="T195" s="1062"/>
      <c r="U195" s="468"/>
      <c r="V195" s="1062"/>
      <c r="W195" s="1062"/>
      <c r="X195" s="1062"/>
      <c r="Y195" s="1062"/>
      <c r="Z195" s="1062"/>
      <c r="AA195" s="1546"/>
      <c r="AB195" s="490"/>
      <c r="AC195" s="490"/>
      <c r="AD195" s="490"/>
      <c r="AE195" s="490"/>
    </row>
    <row r="196" spans="1:31" s="1907" customFormat="1" ht="11.25" customHeight="1">
      <c r="A196" s="897"/>
      <c r="B196" s="1550"/>
      <c r="C196" s="1550"/>
      <c r="D196" s="275"/>
      <c r="K196" s="1062"/>
      <c r="L196" s="1550"/>
      <c r="M196" s="1550"/>
      <c r="N196" s="1062"/>
      <c r="O196" s="1062"/>
      <c r="P196" s="1062"/>
      <c r="Q196" s="1062"/>
      <c r="R196" s="1550"/>
      <c r="S196" s="1062"/>
      <c r="T196" s="1062"/>
      <c r="U196" s="468"/>
      <c r="V196" s="1062"/>
      <c r="W196" s="1062"/>
      <c r="X196" s="1062"/>
      <c r="Y196" s="1062"/>
      <c r="Z196" s="1062"/>
      <c r="AA196" s="1546"/>
      <c r="AB196" s="490"/>
      <c r="AC196" s="490"/>
      <c r="AD196" s="490"/>
      <c r="AE196" s="490"/>
    </row>
    <row r="197" spans="1:31" s="1907" customFormat="1" ht="11.25" customHeight="1">
      <c r="A197" s="897"/>
      <c r="B197" s="1550"/>
      <c r="C197" s="1550"/>
      <c r="D197" s="275"/>
      <c r="K197" s="1062"/>
      <c r="L197" s="1550"/>
      <c r="M197" s="1550"/>
      <c r="N197" s="1062"/>
      <c r="O197" s="1062"/>
      <c r="P197" s="1062"/>
      <c r="Q197" s="1062"/>
      <c r="R197" s="1550"/>
      <c r="S197" s="1062"/>
      <c r="T197" s="1062"/>
      <c r="U197" s="468"/>
      <c r="V197" s="1062"/>
      <c r="W197" s="1062"/>
      <c r="X197" s="1062"/>
      <c r="Y197" s="1062"/>
      <c r="Z197" s="1062"/>
      <c r="AA197" s="1546"/>
      <c r="AB197" s="490"/>
      <c r="AC197" s="490"/>
      <c r="AD197" s="490"/>
      <c r="AE197" s="490"/>
    </row>
    <row r="198" spans="1:31" s="1907" customFormat="1" ht="11.25" customHeight="1">
      <c r="A198" s="897"/>
      <c r="B198" s="1550"/>
      <c r="C198" s="1550"/>
      <c r="D198" s="275"/>
      <c r="K198" s="1062"/>
      <c r="L198" s="1550"/>
      <c r="M198" s="1550"/>
      <c r="N198" s="1062"/>
      <c r="O198" s="1062"/>
      <c r="P198" s="1062"/>
      <c r="Q198" s="1062"/>
      <c r="R198" s="1550"/>
      <c r="S198" s="1062"/>
      <c r="T198" s="1062"/>
      <c r="U198" s="468"/>
      <c r="V198" s="1062"/>
      <c r="W198" s="1062"/>
      <c r="X198" s="1062"/>
      <c r="Y198" s="1062"/>
      <c r="Z198" s="1062"/>
      <c r="AA198" s="1546"/>
      <c r="AB198" s="490"/>
      <c r="AC198" s="490"/>
      <c r="AD198" s="490"/>
      <c r="AE198" s="490"/>
    </row>
    <row r="199" spans="1:31" s="1907" customFormat="1" ht="11.25" customHeight="1">
      <c r="A199" s="897"/>
      <c r="B199" s="1550"/>
      <c r="C199" s="1550"/>
      <c r="D199" s="275"/>
      <c r="K199" s="1062"/>
      <c r="L199" s="1550"/>
      <c r="M199" s="1550"/>
      <c r="N199" s="1062"/>
      <c r="O199" s="1062"/>
      <c r="P199" s="1062"/>
      <c r="Q199" s="1062"/>
      <c r="R199" s="1550"/>
      <c r="S199" s="1062"/>
      <c r="T199" s="1062"/>
      <c r="U199" s="468"/>
      <c r="V199" s="1062"/>
      <c r="W199" s="1062"/>
      <c r="X199" s="1062"/>
      <c r="Y199" s="1062"/>
      <c r="Z199" s="1062"/>
      <c r="AA199" s="1546"/>
      <c r="AB199" s="490"/>
      <c r="AC199" s="490"/>
      <c r="AD199" s="490"/>
      <c r="AE199" s="490"/>
    </row>
    <row r="200" spans="1:31" s="1907" customFormat="1" ht="11.25" customHeight="1">
      <c r="A200" s="897"/>
      <c r="B200" s="1550"/>
      <c r="C200" s="1550"/>
      <c r="D200" s="275"/>
      <c r="K200" s="1062"/>
      <c r="L200" s="1550"/>
      <c r="M200" s="1550"/>
      <c r="N200" s="1062"/>
      <c r="O200" s="1062"/>
      <c r="P200" s="1062"/>
      <c r="Q200" s="1062"/>
      <c r="R200" s="1550"/>
      <c r="S200" s="1062"/>
      <c r="T200" s="1062"/>
      <c r="U200" s="468"/>
      <c r="V200" s="1062"/>
      <c r="W200" s="1062"/>
      <c r="X200" s="1062"/>
      <c r="Y200" s="1062"/>
      <c r="Z200" s="1062"/>
      <c r="AA200" s="1546"/>
      <c r="AB200" s="490"/>
      <c r="AC200" s="490"/>
      <c r="AD200" s="490"/>
      <c r="AE200" s="490"/>
    </row>
    <row r="201" spans="1:31" s="1907" customFormat="1" ht="11.25" customHeight="1">
      <c r="A201" s="897"/>
      <c r="B201" s="1550"/>
      <c r="C201" s="1550"/>
      <c r="D201" s="275"/>
      <c r="K201" s="1062"/>
      <c r="L201" s="1550"/>
      <c r="M201" s="1550"/>
      <c r="N201" s="1062"/>
      <c r="O201" s="1062"/>
      <c r="P201" s="1062"/>
      <c r="Q201" s="1062"/>
      <c r="R201" s="1550"/>
      <c r="S201" s="1062"/>
      <c r="T201" s="1062"/>
      <c r="U201" s="468"/>
      <c r="V201" s="1062"/>
      <c r="W201" s="1062"/>
      <c r="X201" s="1062"/>
      <c r="Y201" s="1062"/>
      <c r="Z201" s="1062"/>
      <c r="AA201" s="1546"/>
      <c r="AB201" s="490"/>
      <c r="AC201" s="490"/>
      <c r="AD201" s="490"/>
      <c r="AE201" s="490"/>
    </row>
    <row r="202" spans="1:31" s="1907" customFormat="1" ht="11.25" customHeight="1">
      <c r="A202" s="897"/>
      <c r="B202" s="1550"/>
      <c r="C202" s="1550"/>
      <c r="D202" s="275"/>
      <c r="K202" s="1062"/>
      <c r="L202" s="1550"/>
      <c r="M202" s="1550"/>
      <c r="N202" s="1062"/>
      <c r="O202" s="1062"/>
      <c r="P202" s="1062"/>
      <c r="Q202" s="1062"/>
      <c r="R202" s="1550"/>
      <c r="S202" s="1062"/>
      <c r="T202" s="1062"/>
      <c r="U202" s="468"/>
      <c r="V202" s="1062"/>
      <c r="W202" s="1062"/>
      <c r="X202" s="1062"/>
      <c r="Y202" s="1062"/>
      <c r="Z202" s="1062"/>
      <c r="AA202" s="1546"/>
      <c r="AB202" s="490"/>
      <c r="AC202" s="490"/>
      <c r="AD202" s="490"/>
      <c r="AE202" s="490"/>
    </row>
    <row r="203" spans="1:31" s="1907" customFormat="1" ht="11.25" customHeight="1">
      <c r="A203" s="897"/>
      <c r="B203" s="1550"/>
      <c r="C203" s="1550"/>
      <c r="D203" s="275"/>
      <c r="K203" s="1062"/>
      <c r="L203" s="1550"/>
      <c r="M203" s="1550"/>
      <c r="N203" s="1062"/>
      <c r="O203" s="1062"/>
      <c r="P203" s="1062"/>
      <c r="Q203" s="1062"/>
      <c r="R203" s="1550"/>
      <c r="S203" s="1062"/>
      <c r="T203" s="1062"/>
      <c r="U203" s="468"/>
      <c r="V203" s="1062"/>
      <c r="W203" s="1062"/>
      <c r="X203" s="1062"/>
      <c r="Y203" s="1062"/>
      <c r="Z203" s="1062"/>
      <c r="AA203" s="1546"/>
      <c r="AB203" s="490"/>
      <c r="AC203" s="490"/>
      <c r="AD203" s="490"/>
      <c r="AE203" s="490"/>
    </row>
    <row r="204" spans="1:31" s="1907" customFormat="1" ht="11.25" customHeight="1">
      <c r="A204" s="897"/>
      <c r="B204" s="1550"/>
      <c r="C204" s="1550"/>
      <c r="D204" s="275"/>
      <c r="K204" s="1062"/>
      <c r="L204" s="1550"/>
      <c r="M204" s="1550"/>
      <c r="N204" s="1062"/>
      <c r="O204" s="1062"/>
      <c r="P204" s="1062"/>
      <c r="Q204" s="1062"/>
      <c r="R204" s="1550"/>
      <c r="S204" s="1062"/>
      <c r="T204" s="1062"/>
      <c r="U204" s="468"/>
      <c r="V204" s="1062"/>
      <c r="W204" s="1062"/>
      <c r="X204" s="1062"/>
      <c r="Y204" s="1062"/>
      <c r="Z204" s="1062"/>
      <c r="AA204" s="1546"/>
      <c r="AB204" s="490"/>
      <c r="AC204" s="490"/>
      <c r="AD204" s="490"/>
      <c r="AE204" s="490"/>
    </row>
    <row r="205" spans="1:31" s="1907" customFormat="1" ht="11.25" customHeight="1">
      <c r="A205" s="897"/>
      <c r="B205" s="1550"/>
      <c r="C205" s="1550"/>
      <c r="D205" s="275"/>
      <c r="K205" s="1062"/>
      <c r="L205" s="1550"/>
      <c r="M205" s="1550"/>
      <c r="N205" s="1062"/>
      <c r="O205" s="1062"/>
      <c r="P205" s="1062"/>
      <c r="Q205" s="1062"/>
      <c r="R205" s="1550"/>
      <c r="S205" s="1062"/>
      <c r="T205" s="1062"/>
      <c r="U205" s="468"/>
      <c r="V205" s="1062"/>
      <c r="W205" s="1062"/>
      <c r="X205" s="1062"/>
      <c r="Y205" s="1062"/>
      <c r="Z205" s="1062"/>
      <c r="AA205" s="1546"/>
      <c r="AB205" s="490"/>
      <c r="AC205" s="490"/>
      <c r="AD205" s="490"/>
      <c r="AE205" s="490"/>
    </row>
    <row r="206" spans="1:31" s="1907" customFormat="1" ht="11.25" customHeight="1">
      <c r="A206" s="897"/>
      <c r="B206" s="1550"/>
      <c r="C206" s="1550"/>
      <c r="D206" s="275"/>
      <c r="K206" s="1062"/>
      <c r="L206" s="1550"/>
      <c r="M206" s="1550"/>
      <c r="N206" s="1062"/>
      <c r="O206" s="1062"/>
      <c r="P206" s="1062"/>
      <c r="Q206" s="1062"/>
      <c r="R206" s="1550"/>
      <c r="S206" s="1062"/>
      <c r="T206" s="1062"/>
      <c r="U206" s="468"/>
      <c r="V206" s="1062"/>
      <c r="W206" s="1062"/>
      <c r="X206" s="1062"/>
      <c r="Y206" s="1062"/>
      <c r="Z206" s="1062"/>
      <c r="AA206" s="1546"/>
      <c r="AB206" s="490"/>
      <c r="AC206" s="490"/>
      <c r="AD206" s="490"/>
      <c r="AE206" s="490"/>
    </row>
    <row r="207" spans="1:31" s="1907" customFormat="1" ht="11.25" customHeight="1">
      <c r="A207" s="897"/>
      <c r="B207" s="1550"/>
      <c r="C207" s="1550"/>
      <c r="D207" s="275"/>
      <c r="K207" s="1062"/>
      <c r="L207" s="1550"/>
      <c r="M207" s="1550"/>
      <c r="N207" s="1062"/>
      <c r="O207" s="1062"/>
      <c r="P207" s="1062"/>
      <c r="Q207" s="1062"/>
      <c r="R207" s="1550"/>
      <c r="S207" s="1062"/>
      <c r="T207" s="1062"/>
      <c r="U207" s="468"/>
      <c r="V207" s="1062"/>
      <c r="W207" s="1062"/>
      <c r="X207" s="1062"/>
      <c r="Y207" s="1062"/>
      <c r="Z207" s="1062"/>
      <c r="AA207" s="1546"/>
      <c r="AB207" s="490"/>
      <c r="AC207" s="490"/>
      <c r="AD207" s="490"/>
      <c r="AE207" s="490"/>
    </row>
    <row r="208" spans="1:31" s="1907" customFormat="1" ht="11.25" customHeight="1">
      <c r="A208" s="897"/>
      <c r="B208" s="1550"/>
      <c r="C208" s="1550"/>
      <c r="D208" s="275"/>
      <c r="K208" s="1062"/>
      <c r="L208" s="1550"/>
      <c r="M208" s="1550"/>
      <c r="N208" s="1062"/>
      <c r="O208" s="1062"/>
      <c r="P208" s="1062"/>
      <c r="Q208" s="1062"/>
      <c r="R208" s="1550"/>
      <c r="S208" s="1062"/>
      <c r="T208" s="1062"/>
      <c r="U208" s="468"/>
      <c r="V208" s="1062"/>
      <c r="W208" s="1062"/>
      <c r="X208" s="1062"/>
      <c r="Y208" s="1062"/>
      <c r="Z208" s="1062"/>
      <c r="AA208" s="1546"/>
      <c r="AB208" s="490"/>
      <c r="AC208" s="490"/>
      <c r="AD208" s="490"/>
      <c r="AE208" s="490"/>
    </row>
    <row r="209" spans="1:31" s="1907" customFormat="1" ht="11.25" customHeight="1">
      <c r="A209" s="897"/>
      <c r="B209" s="1550"/>
      <c r="C209" s="1550"/>
      <c r="D209" s="275"/>
      <c r="K209" s="1062"/>
      <c r="L209" s="1550"/>
      <c r="M209" s="1550"/>
      <c r="N209" s="1062"/>
      <c r="O209" s="1062"/>
      <c r="P209" s="1062"/>
      <c r="Q209" s="1062"/>
      <c r="R209" s="1550"/>
      <c r="S209" s="1062"/>
      <c r="T209" s="1062"/>
      <c r="U209" s="468"/>
      <c r="V209" s="1062"/>
      <c r="W209" s="1062"/>
      <c r="X209" s="1062"/>
      <c r="Y209" s="1062"/>
      <c r="Z209" s="1062"/>
      <c r="AA209" s="1546"/>
      <c r="AB209" s="490"/>
      <c r="AC209" s="490"/>
      <c r="AD209" s="490"/>
      <c r="AE209" s="490"/>
    </row>
    <row r="210" spans="1:31" s="1907" customFormat="1" ht="11.25" customHeight="1">
      <c r="A210" s="897"/>
      <c r="B210" s="1550"/>
      <c r="C210" s="1550"/>
      <c r="D210" s="275"/>
      <c r="K210" s="1062"/>
      <c r="L210" s="1550"/>
      <c r="M210" s="1550"/>
      <c r="N210" s="1062"/>
      <c r="O210" s="1062"/>
      <c r="P210" s="1062"/>
      <c r="Q210" s="1062"/>
      <c r="R210" s="1550"/>
      <c r="S210" s="1062"/>
      <c r="T210" s="1062"/>
      <c r="U210" s="468"/>
      <c r="V210" s="1062"/>
      <c r="W210" s="1062"/>
      <c r="X210" s="1062"/>
      <c r="Y210" s="1062"/>
      <c r="Z210" s="1062"/>
      <c r="AA210" s="1546"/>
      <c r="AB210" s="490"/>
      <c r="AC210" s="490"/>
      <c r="AD210" s="490"/>
      <c r="AE210" s="490"/>
    </row>
    <row r="211" spans="1:31" s="1907" customFormat="1" ht="11.25" customHeight="1">
      <c r="A211" s="897"/>
      <c r="B211" s="1550"/>
      <c r="C211" s="1550"/>
      <c r="D211" s="275"/>
      <c r="K211" s="1062"/>
      <c r="L211" s="1550"/>
      <c r="M211" s="1550"/>
      <c r="N211" s="1062"/>
      <c r="O211" s="1062"/>
      <c r="P211" s="1062"/>
      <c r="Q211" s="1062"/>
      <c r="R211" s="1550"/>
      <c r="S211" s="1062"/>
      <c r="T211" s="1062"/>
      <c r="U211" s="468"/>
      <c r="V211" s="1062"/>
      <c r="W211" s="1062"/>
      <c r="X211" s="1062"/>
      <c r="Y211" s="1062"/>
      <c r="Z211" s="1062"/>
      <c r="AA211" s="1546"/>
      <c r="AB211" s="490"/>
      <c r="AC211" s="490"/>
      <c r="AD211" s="490"/>
      <c r="AE211" s="490"/>
    </row>
    <row r="212" spans="1:31" s="1907" customFormat="1" ht="11.25" customHeight="1">
      <c r="A212" s="897"/>
      <c r="B212" s="1550"/>
      <c r="C212" s="1550"/>
      <c r="D212" s="275"/>
      <c r="K212" s="1062"/>
      <c r="L212" s="1550"/>
      <c r="M212" s="1550"/>
      <c r="N212" s="1062"/>
      <c r="O212" s="1062"/>
      <c r="P212" s="1062"/>
      <c r="Q212" s="1062"/>
      <c r="R212" s="1550"/>
      <c r="S212" s="1062"/>
      <c r="T212" s="1062"/>
      <c r="U212" s="468"/>
      <c r="V212" s="1062"/>
      <c r="W212" s="1062"/>
      <c r="X212" s="1062"/>
      <c r="Y212" s="1062"/>
      <c r="Z212" s="1062"/>
      <c r="AA212" s="1546"/>
      <c r="AB212" s="490"/>
      <c r="AC212" s="490"/>
      <c r="AD212" s="490"/>
      <c r="AE212" s="490"/>
    </row>
    <row r="213" spans="1:31" s="1907" customFormat="1" ht="11.25" customHeight="1">
      <c r="A213" s="897"/>
      <c r="B213" s="1550"/>
      <c r="C213" s="1550"/>
      <c r="D213" s="275"/>
      <c r="K213" s="1062"/>
      <c r="L213" s="1550"/>
      <c r="M213" s="1550"/>
      <c r="N213" s="1062"/>
      <c r="O213" s="1062"/>
      <c r="P213" s="1062"/>
      <c r="Q213" s="1062"/>
      <c r="R213" s="1550"/>
      <c r="S213" s="1062"/>
      <c r="T213" s="1062"/>
      <c r="U213" s="468"/>
      <c r="V213" s="1062"/>
      <c r="W213" s="1062"/>
      <c r="X213" s="1062"/>
      <c r="Y213" s="1062"/>
      <c r="Z213" s="1062"/>
      <c r="AA213" s="1546"/>
      <c r="AB213" s="490"/>
      <c r="AC213" s="490"/>
      <c r="AD213" s="490"/>
      <c r="AE213" s="490"/>
    </row>
    <row r="214" spans="1:31" s="1907" customFormat="1" ht="11.25" customHeight="1">
      <c r="A214" s="897"/>
      <c r="B214" s="1550"/>
      <c r="C214" s="1550"/>
      <c r="D214" s="275"/>
      <c r="K214" s="1062"/>
      <c r="L214" s="1550"/>
      <c r="M214" s="1550"/>
      <c r="N214" s="1062"/>
      <c r="O214" s="1062"/>
      <c r="P214" s="1062"/>
      <c r="Q214" s="1062"/>
      <c r="R214" s="1550"/>
      <c r="S214" s="1062"/>
      <c r="T214" s="1062"/>
      <c r="U214" s="468"/>
      <c r="V214" s="1062"/>
      <c r="W214" s="1062"/>
      <c r="X214" s="1062"/>
      <c r="Y214" s="1062"/>
      <c r="Z214" s="1062"/>
      <c r="AA214" s="1546"/>
      <c r="AB214" s="490"/>
      <c r="AC214" s="490"/>
      <c r="AD214" s="490"/>
      <c r="AE214" s="490"/>
    </row>
    <row r="215" spans="1:31" s="1907" customFormat="1" ht="11.25" customHeight="1">
      <c r="A215" s="897"/>
      <c r="B215" s="1550"/>
      <c r="C215" s="1550"/>
      <c r="D215" s="275"/>
      <c r="K215" s="1062"/>
      <c r="L215" s="1550"/>
      <c r="M215" s="1550"/>
      <c r="N215" s="1062"/>
      <c r="O215" s="1062"/>
      <c r="P215" s="1062"/>
      <c r="Q215" s="1062"/>
      <c r="R215" s="1550"/>
      <c r="S215" s="1062"/>
      <c r="T215" s="1062"/>
      <c r="U215" s="468"/>
      <c r="V215" s="1062"/>
      <c r="W215" s="1062"/>
      <c r="X215" s="1062"/>
      <c r="Y215" s="1062"/>
      <c r="Z215" s="1062"/>
      <c r="AA215" s="1546"/>
      <c r="AB215" s="490"/>
      <c r="AC215" s="490"/>
      <c r="AD215" s="490"/>
      <c r="AE215" s="490"/>
    </row>
    <row r="216" spans="1:31" s="1907" customFormat="1" ht="11.25" customHeight="1">
      <c r="A216" s="897"/>
      <c r="B216" s="1550"/>
      <c r="C216" s="1550"/>
      <c r="D216" s="275"/>
      <c r="K216" s="1062"/>
      <c r="L216" s="1550"/>
      <c r="M216" s="1550"/>
      <c r="N216" s="1062"/>
      <c r="O216" s="1062"/>
      <c r="P216" s="1062"/>
      <c r="Q216" s="1062"/>
      <c r="R216" s="1550"/>
      <c r="S216" s="1062"/>
      <c r="T216" s="1062"/>
      <c r="U216" s="468"/>
      <c r="V216" s="1062"/>
      <c r="W216" s="1062"/>
      <c r="X216" s="1062"/>
      <c r="Y216" s="1062"/>
      <c r="Z216" s="1062"/>
      <c r="AA216" s="1546"/>
      <c r="AB216" s="490"/>
      <c r="AC216" s="490"/>
      <c r="AD216" s="490"/>
      <c r="AE216" s="490"/>
    </row>
    <row r="217" spans="1:31" s="1907" customFormat="1" ht="11.25" customHeight="1">
      <c r="A217" s="897"/>
      <c r="B217" s="1550"/>
      <c r="C217" s="1550"/>
      <c r="D217" s="275"/>
      <c r="K217" s="1062"/>
      <c r="L217" s="1550"/>
      <c r="M217" s="1550"/>
      <c r="N217" s="1062"/>
      <c r="O217" s="1062"/>
      <c r="P217" s="1062"/>
      <c r="Q217" s="1062"/>
      <c r="R217" s="1550"/>
      <c r="S217" s="1062"/>
      <c r="T217" s="1062"/>
      <c r="U217" s="468"/>
      <c r="V217" s="1062"/>
      <c r="W217" s="1062"/>
      <c r="X217" s="1062"/>
      <c r="Y217" s="1062"/>
      <c r="Z217" s="1062"/>
      <c r="AA217" s="1546"/>
      <c r="AB217" s="490"/>
      <c r="AC217" s="490"/>
      <c r="AD217" s="490"/>
      <c r="AE217" s="490"/>
    </row>
    <row r="218" spans="1:31" s="1907" customFormat="1" ht="11.25" customHeight="1">
      <c r="A218" s="897"/>
      <c r="B218" s="1550"/>
      <c r="C218" s="1550"/>
      <c r="D218" s="275"/>
      <c r="K218" s="1062"/>
      <c r="L218" s="1550"/>
      <c r="M218" s="1550"/>
      <c r="N218" s="1062"/>
      <c r="O218" s="1062"/>
      <c r="P218" s="1062"/>
      <c r="Q218" s="1062"/>
      <c r="R218" s="1550"/>
      <c r="S218" s="1062"/>
      <c r="T218" s="1062"/>
      <c r="U218" s="468"/>
      <c r="V218" s="1062"/>
      <c r="W218" s="1062"/>
      <c r="X218" s="1062"/>
      <c r="Y218" s="1062"/>
      <c r="Z218" s="1062"/>
      <c r="AA218" s="1546"/>
      <c r="AB218" s="490"/>
      <c r="AC218" s="490"/>
      <c r="AD218" s="490"/>
      <c r="AE218" s="490"/>
    </row>
    <row r="219" spans="1:31" s="1907" customFormat="1" ht="11.25" customHeight="1">
      <c r="A219" s="897"/>
      <c r="B219" s="1550"/>
      <c r="C219" s="1550"/>
      <c r="D219" s="275"/>
      <c r="K219" s="1062"/>
      <c r="L219" s="1550"/>
      <c r="M219" s="1550"/>
      <c r="N219" s="1062"/>
      <c r="O219" s="1062"/>
      <c r="P219" s="1062"/>
      <c r="Q219" s="1062"/>
      <c r="R219" s="1550"/>
      <c r="S219" s="1062"/>
      <c r="T219" s="1062"/>
      <c r="U219" s="468"/>
      <c r="V219" s="1062"/>
      <c r="W219" s="1062"/>
      <c r="X219" s="1062"/>
      <c r="Y219" s="1062"/>
      <c r="Z219" s="1062"/>
      <c r="AA219" s="1546"/>
      <c r="AB219" s="490"/>
      <c r="AC219" s="490"/>
      <c r="AD219" s="490"/>
      <c r="AE219" s="490"/>
    </row>
    <row r="220" spans="1:31" s="1907" customFormat="1" ht="11.25" customHeight="1">
      <c r="A220" s="897"/>
      <c r="B220" s="1550"/>
      <c r="C220" s="1550"/>
      <c r="D220" s="275"/>
      <c r="K220" s="1062"/>
      <c r="L220" s="1550"/>
      <c r="M220" s="1550"/>
      <c r="N220" s="1062"/>
      <c r="O220" s="1062"/>
      <c r="P220" s="1062"/>
      <c r="Q220" s="1062"/>
      <c r="R220" s="1550"/>
      <c r="S220" s="1062"/>
      <c r="T220" s="1062"/>
      <c r="U220" s="468"/>
      <c r="V220" s="1062"/>
      <c r="W220" s="1062"/>
      <c r="X220" s="1062"/>
      <c r="Y220" s="1062"/>
      <c r="Z220" s="1062"/>
      <c r="AA220" s="1546"/>
      <c r="AB220" s="490"/>
      <c r="AC220" s="490"/>
      <c r="AD220" s="490"/>
      <c r="AE220" s="490"/>
    </row>
    <row r="221" spans="1:31" s="1907" customFormat="1" ht="11.25" customHeight="1">
      <c r="A221" s="897"/>
      <c r="B221" s="1550"/>
      <c r="C221" s="1550"/>
      <c r="D221" s="275"/>
      <c r="K221" s="1062"/>
      <c r="L221" s="1550"/>
      <c r="M221" s="1550"/>
      <c r="N221" s="1062"/>
      <c r="O221" s="1062"/>
      <c r="P221" s="1062"/>
      <c r="Q221" s="1062"/>
      <c r="R221" s="1550"/>
      <c r="S221" s="1062"/>
      <c r="T221" s="1062"/>
      <c r="U221" s="468"/>
      <c r="V221" s="1062"/>
      <c r="W221" s="1062"/>
      <c r="X221" s="1062"/>
      <c r="Y221" s="1062"/>
      <c r="Z221" s="1062"/>
      <c r="AA221" s="1546"/>
      <c r="AB221" s="490"/>
      <c r="AC221" s="490"/>
      <c r="AD221" s="490"/>
      <c r="AE221" s="490"/>
    </row>
    <row r="222" spans="1:31" s="1907" customFormat="1" ht="11.25" customHeight="1">
      <c r="A222" s="897"/>
      <c r="B222" s="1550"/>
      <c r="C222" s="1550"/>
      <c r="D222" s="275"/>
      <c r="K222" s="1062"/>
      <c r="L222" s="1550"/>
      <c r="M222" s="1550"/>
      <c r="N222" s="1062"/>
      <c r="O222" s="1062"/>
      <c r="P222" s="1062"/>
      <c r="Q222" s="1062"/>
      <c r="R222" s="1550"/>
      <c r="S222" s="1062"/>
      <c r="T222" s="1062"/>
      <c r="U222" s="468"/>
      <c r="V222" s="1062"/>
      <c r="W222" s="1062"/>
      <c r="X222" s="1062"/>
      <c r="Y222" s="1062"/>
      <c r="Z222" s="1062"/>
      <c r="AA222" s="1546"/>
      <c r="AB222" s="490"/>
      <c r="AC222" s="490"/>
      <c r="AD222" s="490"/>
      <c r="AE222" s="490"/>
    </row>
    <row r="223" spans="1:31" s="1907" customFormat="1" ht="11.25" customHeight="1">
      <c r="A223" s="897"/>
      <c r="B223" s="1550"/>
      <c r="C223" s="1550"/>
      <c r="D223" s="275"/>
      <c r="K223" s="1062"/>
      <c r="L223" s="1550"/>
      <c r="M223" s="1550"/>
      <c r="N223" s="1062"/>
      <c r="O223" s="1062"/>
      <c r="P223" s="1062"/>
      <c r="Q223" s="1062"/>
      <c r="R223" s="1550"/>
      <c r="S223" s="1062"/>
      <c r="T223" s="1062"/>
      <c r="U223" s="468"/>
      <c r="V223" s="1062"/>
      <c r="W223" s="1062"/>
      <c r="X223" s="1062"/>
      <c r="Y223" s="1062"/>
      <c r="Z223" s="1062"/>
      <c r="AA223" s="1546"/>
      <c r="AB223" s="490"/>
      <c r="AC223" s="490"/>
      <c r="AD223" s="490"/>
      <c r="AE223" s="490"/>
    </row>
    <row r="224" spans="1:31" s="1907" customFormat="1" ht="11.25" customHeight="1">
      <c r="A224" s="897"/>
      <c r="B224" s="1550"/>
      <c r="C224" s="1550"/>
      <c r="D224" s="275"/>
      <c r="K224" s="1062"/>
      <c r="L224" s="1550"/>
      <c r="M224" s="1550"/>
      <c r="N224" s="1062"/>
      <c r="O224" s="1062"/>
      <c r="P224" s="1062"/>
      <c r="Q224" s="1062"/>
      <c r="R224" s="1550"/>
      <c r="S224" s="1062"/>
      <c r="T224" s="1062"/>
      <c r="U224" s="468"/>
      <c r="V224" s="1062"/>
      <c r="W224" s="1062"/>
      <c r="X224" s="1062"/>
      <c r="Y224" s="1062"/>
      <c r="Z224" s="1062"/>
      <c r="AA224" s="1546"/>
      <c r="AB224" s="490"/>
      <c r="AC224" s="490"/>
      <c r="AD224" s="490"/>
      <c r="AE224" s="490"/>
    </row>
    <row r="225" spans="1:31" s="1907" customFormat="1" ht="11.25" customHeight="1">
      <c r="A225" s="897"/>
      <c r="B225" s="1550"/>
      <c r="C225" s="1550"/>
      <c r="D225" s="275"/>
      <c r="K225" s="1062"/>
      <c r="L225" s="1550"/>
      <c r="M225" s="1550"/>
      <c r="N225" s="1062"/>
      <c r="O225" s="1062"/>
      <c r="P225" s="1062"/>
      <c r="Q225" s="1062"/>
      <c r="R225" s="1550"/>
      <c r="S225" s="1062"/>
      <c r="T225" s="1062"/>
      <c r="U225" s="468"/>
      <c r="V225" s="1062"/>
      <c r="W225" s="1062"/>
      <c r="X225" s="1062"/>
      <c r="Y225" s="1062"/>
      <c r="Z225" s="1062"/>
      <c r="AA225" s="1546"/>
      <c r="AB225" s="490"/>
      <c r="AC225" s="490"/>
      <c r="AD225" s="490"/>
      <c r="AE225" s="490"/>
    </row>
    <row r="226" spans="1:31" s="1907" customFormat="1" ht="11.25" customHeight="1">
      <c r="A226" s="897"/>
      <c r="B226" s="1550"/>
      <c r="C226" s="1550"/>
      <c r="D226" s="275"/>
      <c r="K226" s="1062"/>
      <c r="L226" s="1550"/>
      <c r="M226" s="1550"/>
      <c r="N226" s="1062"/>
      <c r="O226" s="1062"/>
      <c r="P226" s="1062"/>
      <c r="Q226" s="1062"/>
      <c r="R226" s="1550"/>
      <c r="S226" s="1062"/>
      <c r="T226" s="1062"/>
      <c r="U226" s="468"/>
      <c r="V226" s="1062"/>
      <c r="W226" s="1062"/>
      <c r="X226" s="1062"/>
      <c r="Y226" s="1062"/>
      <c r="Z226" s="1062"/>
      <c r="AA226" s="1546"/>
      <c r="AB226" s="490"/>
      <c r="AC226" s="490"/>
      <c r="AD226" s="490"/>
      <c r="AE226" s="490"/>
    </row>
    <row r="227" spans="1:31" s="1907" customFormat="1" ht="11.25" customHeight="1">
      <c r="A227" s="897"/>
      <c r="B227" s="1550"/>
      <c r="C227" s="1550"/>
      <c r="D227" s="275"/>
      <c r="K227" s="1062"/>
      <c r="L227" s="1550"/>
      <c r="M227" s="1550"/>
      <c r="N227" s="1062"/>
      <c r="O227" s="1062"/>
      <c r="P227" s="1062"/>
      <c r="Q227" s="1062"/>
      <c r="R227" s="1550"/>
      <c r="S227" s="1062"/>
      <c r="T227" s="1062"/>
      <c r="U227" s="468"/>
      <c r="V227" s="1062"/>
      <c r="W227" s="1062"/>
      <c r="X227" s="1062"/>
      <c r="Y227" s="1062"/>
      <c r="Z227" s="1062"/>
      <c r="AA227" s="1546"/>
      <c r="AB227" s="490"/>
      <c r="AC227" s="490"/>
      <c r="AD227" s="490"/>
      <c r="AE227" s="490"/>
    </row>
    <row r="228" spans="1:31" s="1907" customFormat="1" ht="11.25" customHeight="1">
      <c r="A228" s="897"/>
      <c r="B228" s="1550"/>
      <c r="C228" s="1550"/>
      <c r="D228" s="275"/>
      <c r="K228" s="1062"/>
      <c r="L228" s="1550"/>
      <c r="M228" s="1550"/>
      <c r="N228" s="1062"/>
      <c r="O228" s="1062"/>
      <c r="P228" s="1062"/>
      <c r="Q228" s="1062"/>
      <c r="R228" s="1550"/>
      <c r="S228" s="1062"/>
      <c r="T228" s="1062"/>
      <c r="U228" s="468"/>
      <c r="V228" s="1062"/>
      <c r="W228" s="1062"/>
      <c r="X228" s="1062"/>
      <c r="Y228" s="1062"/>
      <c r="Z228" s="1062"/>
      <c r="AA228" s="1546"/>
      <c r="AB228" s="490"/>
      <c r="AC228" s="490"/>
      <c r="AD228" s="490"/>
      <c r="AE228" s="490"/>
    </row>
    <row r="229" spans="1:31" s="1907" customFormat="1" ht="11.25" customHeight="1">
      <c r="A229" s="897"/>
      <c r="B229" s="1550"/>
      <c r="C229" s="1550"/>
      <c r="D229" s="275"/>
      <c r="K229" s="1062"/>
      <c r="L229" s="1550"/>
      <c r="M229" s="1550"/>
      <c r="N229" s="1062"/>
      <c r="O229" s="1062"/>
      <c r="P229" s="1062"/>
      <c r="Q229" s="1062"/>
      <c r="R229" s="1550"/>
      <c r="S229" s="1062"/>
      <c r="T229" s="1062"/>
      <c r="U229" s="468"/>
      <c r="V229" s="1062"/>
      <c r="W229" s="1062"/>
      <c r="X229" s="1062"/>
      <c r="Y229" s="1062"/>
      <c r="Z229" s="1062"/>
      <c r="AA229" s="1546"/>
      <c r="AB229" s="490"/>
      <c r="AC229" s="490"/>
      <c r="AD229" s="490"/>
      <c r="AE229" s="490"/>
    </row>
    <row r="230" spans="1:31" s="1907" customFormat="1" ht="11.25" customHeight="1">
      <c r="A230" s="897"/>
      <c r="B230" s="1550"/>
      <c r="C230" s="1550"/>
      <c r="D230" s="275"/>
      <c r="K230" s="1062"/>
      <c r="L230" s="1550"/>
      <c r="M230" s="1550"/>
      <c r="N230" s="1062"/>
      <c r="O230" s="1062"/>
      <c r="P230" s="1062"/>
      <c r="Q230" s="1062"/>
      <c r="R230" s="1550"/>
      <c r="S230" s="1062"/>
      <c r="T230" s="1062"/>
      <c r="U230" s="468"/>
      <c r="V230" s="1062"/>
      <c r="W230" s="1062"/>
      <c r="X230" s="1062"/>
      <c r="Y230" s="1062"/>
      <c r="Z230" s="1062"/>
      <c r="AA230" s="1546"/>
      <c r="AB230" s="490"/>
      <c r="AC230" s="490"/>
      <c r="AD230" s="490"/>
      <c r="AE230" s="490"/>
    </row>
    <row r="231" spans="1:31" s="1907" customFormat="1" ht="11.25" customHeight="1">
      <c r="A231" s="897"/>
      <c r="B231" s="1550"/>
      <c r="C231" s="1550"/>
      <c r="D231" s="275"/>
      <c r="K231" s="1062"/>
      <c r="L231" s="1550"/>
      <c r="M231" s="1550"/>
      <c r="N231" s="1062"/>
      <c r="O231" s="1062"/>
      <c r="P231" s="1062"/>
      <c r="Q231" s="1062"/>
      <c r="R231" s="1550"/>
      <c r="S231" s="1062"/>
      <c r="T231" s="1062"/>
      <c r="U231" s="468"/>
      <c r="V231" s="1062"/>
      <c r="W231" s="1062"/>
      <c r="X231" s="1062"/>
      <c r="Y231" s="1062"/>
      <c r="Z231" s="1062"/>
      <c r="AA231" s="1546"/>
      <c r="AB231" s="490"/>
      <c r="AC231" s="490"/>
      <c r="AD231" s="490"/>
      <c r="AE231" s="490"/>
    </row>
    <row r="232" spans="1:31" s="1907" customFormat="1" ht="11.25" customHeight="1">
      <c r="A232" s="897"/>
      <c r="B232" s="1550"/>
      <c r="C232" s="1550"/>
      <c r="D232" s="275"/>
      <c r="K232" s="1062"/>
      <c r="L232" s="1550"/>
      <c r="M232" s="1550"/>
      <c r="N232" s="1062"/>
      <c r="O232" s="1062"/>
      <c r="P232" s="1062"/>
      <c r="Q232" s="1062"/>
      <c r="R232" s="1550"/>
      <c r="S232" s="1062"/>
      <c r="T232" s="1062"/>
      <c r="U232" s="468"/>
      <c r="V232" s="1062"/>
      <c r="W232" s="1062"/>
      <c r="X232" s="1062"/>
      <c r="Y232" s="1062"/>
      <c r="Z232" s="1062"/>
      <c r="AA232" s="1546"/>
      <c r="AB232" s="490"/>
      <c r="AC232" s="490"/>
      <c r="AD232" s="490"/>
      <c r="AE232" s="490"/>
    </row>
    <row r="233" spans="1:31" s="1907" customFormat="1" ht="11.25" customHeight="1">
      <c r="A233" s="897"/>
      <c r="B233" s="1550"/>
      <c r="C233" s="1550"/>
      <c r="D233" s="275"/>
      <c r="K233" s="1062"/>
      <c r="L233" s="1550"/>
      <c r="M233" s="1550"/>
      <c r="N233" s="1062"/>
      <c r="O233" s="1062"/>
      <c r="P233" s="1062"/>
      <c r="Q233" s="1062"/>
      <c r="R233" s="1550"/>
      <c r="S233" s="1062"/>
      <c r="T233" s="1062"/>
      <c r="U233" s="468"/>
      <c r="V233" s="1062"/>
      <c r="W233" s="1062"/>
      <c r="X233" s="1062"/>
      <c r="Y233" s="1062"/>
      <c r="Z233" s="1062"/>
      <c r="AA233" s="1546"/>
      <c r="AB233" s="490"/>
      <c r="AC233" s="490"/>
      <c r="AD233" s="490"/>
      <c r="AE233" s="490"/>
    </row>
    <row r="234" spans="1:31" s="1907" customFormat="1" ht="11.25" customHeight="1">
      <c r="A234" s="897"/>
      <c r="B234" s="1550"/>
      <c r="C234" s="1550"/>
      <c r="D234" s="275"/>
      <c r="K234" s="1062"/>
      <c r="L234" s="1550"/>
      <c r="M234" s="1550"/>
      <c r="N234" s="1062"/>
      <c r="O234" s="1062"/>
      <c r="P234" s="1062"/>
      <c r="Q234" s="1062"/>
      <c r="R234" s="1550"/>
      <c r="S234" s="1062"/>
      <c r="T234" s="1062"/>
      <c r="U234" s="468"/>
      <c r="V234" s="1062"/>
      <c r="W234" s="1062"/>
      <c r="X234" s="1062"/>
      <c r="Y234" s="1062"/>
      <c r="Z234" s="1062"/>
      <c r="AA234" s="1546"/>
      <c r="AB234" s="490"/>
      <c r="AC234" s="490"/>
      <c r="AD234" s="490"/>
      <c r="AE234" s="490"/>
    </row>
    <row r="235" spans="1:31" s="1907" customFormat="1" ht="11.25" customHeight="1">
      <c r="A235" s="897"/>
      <c r="B235" s="1550"/>
      <c r="C235" s="1550"/>
      <c r="D235" s="275"/>
      <c r="K235" s="1062"/>
      <c r="L235" s="1550"/>
      <c r="M235" s="1550"/>
      <c r="N235" s="1062"/>
      <c r="O235" s="1062"/>
      <c r="P235" s="1062"/>
      <c r="Q235" s="1062"/>
      <c r="R235" s="1550"/>
      <c r="S235" s="1062"/>
      <c r="T235" s="1062"/>
      <c r="U235" s="468"/>
      <c r="V235" s="1062"/>
      <c r="W235" s="1062"/>
      <c r="X235" s="1062"/>
      <c r="Y235" s="1062"/>
      <c r="Z235" s="1062"/>
      <c r="AA235" s="1546"/>
      <c r="AB235" s="490"/>
      <c r="AC235" s="490"/>
      <c r="AD235" s="490"/>
      <c r="AE235" s="490"/>
    </row>
    <row r="236" spans="1:31" s="1907" customFormat="1" ht="11.25" customHeight="1">
      <c r="A236" s="897"/>
      <c r="B236" s="1550"/>
      <c r="C236" s="1550"/>
      <c r="D236" s="275"/>
      <c r="K236" s="1062"/>
      <c r="L236" s="1550"/>
      <c r="M236" s="1550"/>
      <c r="N236" s="1062"/>
      <c r="O236" s="1062"/>
      <c r="P236" s="1062"/>
      <c r="Q236" s="1062"/>
      <c r="R236" s="1550"/>
      <c r="S236" s="1062"/>
      <c r="T236" s="1062"/>
      <c r="U236" s="468"/>
      <c r="V236" s="1062"/>
      <c r="W236" s="1062"/>
      <c r="X236" s="1062"/>
      <c r="Y236" s="1062"/>
      <c r="Z236" s="1062"/>
      <c r="AA236" s="1546"/>
      <c r="AB236" s="490"/>
      <c r="AC236" s="490"/>
      <c r="AD236" s="490"/>
      <c r="AE236" s="490"/>
    </row>
    <row r="237" spans="1:31" s="1907" customFormat="1" ht="11.25" customHeight="1">
      <c r="A237" s="897"/>
      <c r="B237" s="1550"/>
      <c r="C237" s="1550"/>
      <c r="D237" s="275"/>
      <c r="K237" s="1062"/>
      <c r="L237" s="1550"/>
      <c r="M237" s="1550"/>
      <c r="N237" s="1062"/>
      <c r="O237" s="1062"/>
      <c r="P237" s="1062"/>
      <c r="Q237" s="1062"/>
      <c r="R237" s="1550"/>
      <c r="S237" s="1062"/>
      <c r="T237" s="1062"/>
      <c r="U237" s="468"/>
      <c r="V237" s="1062"/>
      <c r="W237" s="1062"/>
      <c r="X237" s="1062"/>
      <c r="Y237" s="1062"/>
      <c r="Z237" s="1062"/>
      <c r="AA237" s="1546"/>
      <c r="AB237" s="490"/>
      <c r="AC237" s="490"/>
      <c r="AD237" s="490"/>
      <c r="AE237" s="490"/>
    </row>
    <row r="238" spans="1:31" s="1907" customFormat="1" ht="11.25" customHeight="1">
      <c r="A238" s="897"/>
      <c r="B238" s="1550"/>
      <c r="C238" s="1550"/>
      <c r="D238" s="275"/>
      <c r="K238" s="1062"/>
      <c r="L238" s="1550"/>
      <c r="M238" s="1550"/>
      <c r="N238" s="1062"/>
      <c r="O238" s="1062"/>
      <c r="P238" s="1062"/>
      <c r="Q238" s="1062"/>
      <c r="R238" s="1550"/>
      <c r="S238" s="1062"/>
      <c r="T238" s="1062"/>
      <c r="U238" s="468"/>
      <c r="V238" s="1062"/>
      <c r="W238" s="1062"/>
      <c r="X238" s="1062"/>
      <c r="Y238" s="1062"/>
      <c r="Z238" s="1062"/>
      <c r="AA238" s="1546"/>
      <c r="AB238" s="490"/>
      <c r="AC238" s="490"/>
      <c r="AD238" s="490"/>
      <c r="AE238" s="490"/>
    </row>
    <row r="239" spans="1:31" s="1907" customFormat="1" ht="11.25" customHeight="1">
      <c r="A239" s="897"/>
      <c r="B239" s="1550"/>
      <c r="C239" s="1550"/>
      <c r="D239" s="275"/>
      <c r="K239" s="1062"/>
      <c r="L239" s="1550"/>
      <c r="M239" s="1550"/>
      <c r="N239" s="1062"/>
      <c r="O239" s="1062"/>
      <c r="P239" s="1062"/>
      <c r="Q239" s="1062"/>
      <c r="R239" s="1550"/>
      <c r="S239" s="1062"/>
      <c r="T239" s="1062"/>
      <c r="U239" s="468"/>
      <c r="V239" s="1062"/>
      <c r="W239" s="1062"/>
      <c r="X239" s="1062"/>
      <c r="Y239" s="1062"/>
      <c r="Z239" s="1062"/>
      <c r="AA239" s="1546"/>
      <c r="AB239" s="490"/>
      <c r="AC239" s="490"/>
      <c r="AD239" s="490"/>
      <c r="AE239" s="490"/>
    </row>
    <row r="240" spans="1:31" s="1907" customFormat="1" ht="11.25" customHeight="1">
      <c r="A240" s="897"/>
      <c r="B240" s="1550"/>
      <c r="C240" s="1550"/>
      <c r="D240" s="275"/>
      <c r="K240" s="1062"/>
      <c r="L240" s="1550"/>
      <c r="M240" s="1550"/>
      <c r="N240" s="1062"/>
      <c r="O240" s="1062"/>
      <c r="P240" s="1062"/>
      <c r="Q240" s="1062"/>
      <c r="R240" s="1550"/>
      <c r="S240" s="1062"/>
      <c r="T240" s="1062"/>
      <c r="U240" s="468"/>
      <c r="V240" s="1062"/>
      <c r="W240" s="1062"/>
      <c r="X240" s="1062"/>
      <c r="Y240" s="1062"/>
      <c r="Z240" s="1062"/>
      <c r="AA240" s="1546"/>
      <c r="AB240" s="490"/>
      <c r="AC240" s="490"/>
      <c r="AD240" s="490"/>
      <c r="AE240" s="490"/>
    </row>
    <row r="241" spans="1:31" s="1907" customFormat="1" ht="11.25" customHeight="1">
      <c r="A241" s="897"/>
      <c r="B241" s="1550"/>
      <c r="C241" s="1550"/>
      <c r="D241" s="275"/>
      <c r="K241" s="1062"/>
      <c r="L241" s="1550"/>
      <c r="M241" s="1550"/>
      <c r="N241" s="1062"/>
      <c r="O241" s="1062"/>
      <c r="P241" s="1062"/>
      <c r="Q241" s="1062"/>
      <c r="R241" s="1550"/>
      <c r="S241" s="1062"/>
      <c r="T241" s="1062"/>
      <c r="U241" s="468"/>
      <c r="V241" s="1062"/>
      <c r="W241" s="1062"/>
      <c r="X241" s="1062"/>
      <c r="Y241" s="1062"/>
      <c r="Z241" s="1062"/>
      <c r="AA241" s="1546"/>
      <c r="AB241" s="490"/>
      <c r="AC241" s="490"/>
      <c r="AD241" s="490"/>
      <c r="AE241" s="490"/>
    </row>
    <row r="242" spans="1:31" s="1907" customFormat="1" ht="11.25" customHeight="1">
      <c r="A242" s="897"/>
      <c r="B242" s="1550"/>
      <c r="C242" s="1550"/>
      <c r="D242" s="275"/>
      <c r="K242" s="1062"/>
      <c r="L242" s="1550"/>
      <c r="M242" s="1550"/>
      <c r="N242" s="1062"/>
      <c r="O242" s="1062"/>
      <c r="P242" s="1062"/>
      <c r="Q242" s="1062"/>
      <c r="R242" s="1550"/>
      <c r="S242" s="1062"/>
      <c r="T242" s="1062"/>
      <c r="U242" s="468"/>
      <c r="V242" s="1062"/>
      <c r="W242" s="1062"/>
      <c r="X242" s="1062"/>
      <c r="Y242" s="1062"/>
      <c r="Z242" s="1062"/>
      <c r="AA242" s="1546"/>
      <c r="AB242" s="490"/>
      <c r="AC242" s="490"/>
      <c r="AD242" s="490"/>
      <c r="AE242" s="490"/>
    </row>
    <row r="243" spans="1:31" s="1907" customFormat="1" ht="11.25" customHeight="1">
      <c r="A243" s="897"/>
      <c r="B243" s="1550"/>
      <c r="C243" s="1550"/>
      <c r="D243" s="275"/>
      <c r="K243" s="1062"/>
      <c r="L243" s="1550"/>
      <c r="M243" s="1550"/>
      <c r="N243" s="1062"/>
      <c r="O243" s="1062"/>
      <c r="P243" s="1062"/>
      <c r="Q243" s="1062"/>
      <c r="R243" s="1550"/>
      <c r="S243" s="1062"/>
      <c r="T243" s="1062"/>
      <c r="U243" s="468"/>
      <c r="V243" s="1062"/>
      <c r="W243" s="1062"/>
      <c r="X243" s="1062"/>
      <c r="Y243" s="1062"/>
      <c r="Z243" s="1062"/>
      <c r="AA243" s="1546"/>
      <c r="AB243" s="490"/>
      <c r="AC243" s="490"/>
      <c r="AD243" s="490"/>
      <c r="AE243" s="490"/>
    </row>
    <row r="244" spans="1:31" s="1907" customFormat="1" ht="11.25" customHeight="1">
      <c r="A244" s="897"/>
      <c r="B244" s="1550"/>
      <c r="C244" s="1550"/>
      <c r="D244" s="275"/>
      <c r="K244" s="1062"/>
      <c r="L244" s="1550"/>
      <c r="M244" s="1550"/>
      <c r="N244" s="1062"/>
      <c r="O244" s="1062"/>
      <c r="P244" s="1062"/>
      <c r="Q244" s="1062"/>
      <c r="R244" s="1550"/>
      <c r="S244" s="1062"/>
      <c r="T244" s="1062"/>
      <c r="U244" s="468"/>
      <c r="V244" s="1062"/>
      <c r="W244" s="1062"/>
      <c r="X244" s="1062"/>
      <c r="Y244" s="1062"/>
      <c r="Z244" s="1062"/>
      <c r="AA244" s="1546"/>
      <c r="AB244" s="490"/>
      <c r="AC244" s="490"/>
      <c r="AD244" s="490"/>
      <c r="AE244" s="490"/>
    </row>
    <row r="245" spans="1:31" s="1907" customFormat="1" ht="11.25" customHeight="1">
      <c r="A245" s="897"/>
      <c r="B245" s="1550"/>
      <c r="C245" s="1550"/>
      <c r="D245" s="275"/>
      <c r="K245" s="1062"/>
      <c r="L245" s="1550"/>
      <c r="M245" s="1550"/>
      <c r="N245" s="1062"/>
      <c r="O245" s="1062"/>
      <c r="P245" s="1062"/>
      <c r="Q245" s="1062"/>
      <c r="R245" s="1550"/>
      <c r="S245" s="1062"/>
      <c r="T245" s="1062"/>
      <c r="U245" s="468"/>
      <c r="V245" s="1062"/>
      <c r="W245" s="1062"/>
      <c r="X245" s="1062"/>
      <c r="Y245" s="1062"/>
      <c r="Z245" s="1062"/>
      <c r="AA245" s="1546"/>
      <c r="AB245" s="490"/>
      <c r="AC245" s="490"/>
      <c r="AD245" s="490"/>
      <c r="AE245" s="490"/>
    </row>
    <row r="246" spans="1:31" s="1907" customFormat="1" ht="11.25" customHeight="1">
      <c r="A246" s="897"/>
      <c r="B246" s="1550"/>
      <c r="C246" s="1550"/>
      <c r="D246" s="275"/>
      <c r="K246" s="1062"/>
      <c r="L246" s="1550"/>
      <c r="M246" s="1550"/>
      <c r="N246" s="1062"/>
      <c r="O246" s="1062"/>
      <c r="P246" s="1062"/>
      <c r="Q246" s="1062"/>
      <c r="R246" s="1550"/>
      <c r="S246" s="1062"/>
      <c r="T246" s="1062"/>
      <c r="U246" s="468"/>
      <c r="V246" s="1062"/>
      <c r="W246" s="1062"/>
      <c r="X246" s="1062"/>
      <c r="Y246" s="1062"/>
      <c r="Z246" s="1062"/>
      <c r="AA246" s="1546"/>
      <c r="AB246" s="490"/>
      <c r="AC246" s="490"/>
      <c r="AD246" s="490"/>
      <c r="AE246" s="490"/>
    </row>
    <row r="247" spans="1:31" s="1907" customFormat="1" ht="11.25" customHeight="1">
      <c r="A247" s="897"/>
      <c r="B247" s="1550"/>
      <c r="C247" s="1550"/>
      <c r="D247" s="275"/>
      <c r="K247" s="1062"/>
      <c r="L247" s="1550"/>
      <c r="M247" s="1550"/>
      <c r="N247" s="1062"/>
      <c r="O247" s="1062"/>
      <c r="P247" s="1062"/>
      <c r="Q247" s="1062"/>
      <c r="R247" s="1550"/>
      <c r="S247" s="1062"/>
      <c r="T247" s="1062"/>
      <c r="U247" s="468"/>
      <c r="V247" s="1062"/>
      <c r="W247" s="1062"/>
      <c r="X247" s="1062"/>
      <c r="Y247" s="1062"/>
      <c r="Z247" s="1062"/>
      <c r="AA247" s="1546"/>
      <c r="AB247" s="490"/>
      <c r="AC247" s="490"/>
      <c r="AD247" s="490"/>
      <c r="AE247" s="490"/>
    </row>
    <row r="248" spans="1:31" s="1907" customFormat="1" ht="11.25" customHeight="1">
      <c r="A248" s="897"/>
      <c r="B248" s="1550"/>
      <c r="C248" s="1550"/>
      <c r="D248" s="275"/>
      <c r="K248" s="1062"/>
      <c r="L248" s="1550"/>
      <c r="M248" s="1550"/>
      <c r="N248" s="1062"/>
      <c r="O248" s="1062"/>
      <c r="P248" s="1062"/>
      <c r="Q248" s="1062"/>
      <c r="R248" s="1550"/>
      <c r="S248" s="1062"/>
      <c r="T248" s="1062"/>
      <c r="U248" s="468"/>
      <c r="V248" s="1062"/>
      <c r="W248" s="1062"/>
      <c r="X248" s="1062"/>
      <c r="Y248" s="1062"/>
      <c r="Z248" s="1062"/>
      <c r="AA248" s="1546"/>
      <c r="AB248" s="490"/>
      <c r="AC248" s="490"/>
      <c r="AD248" s="490"/>
      <c r="AE248" s="490"/>
    </row>
    <row r="249" spans="1:31" s="1907" customFormat="1" ht="11.25" customHeight="1">
      <c r="A249" s="897"/>
      <c r="B249" s="1550"/>
      <c r="C249" s="1550"/>
      <c r="D249" s="275"/>
      <c r="K249" s="1062"/>
      <c r="L249" s="1550"/>
      <c r="M249" s="1550"/>
      <c r="N249" s="1062"/>
      <c r="O249" s="1062"/>
      <c r="P249" s="1062"/>
      <c r="Q249" s="1062"/>
      <c r="R249" s="1550"/>
      <c r="S249" s="1062"/>
      <c r="T249" s="1062"/>
      <c r="U249" s="468"/>
      <c r="V249" s="1062"/>
      <c r="W249" s="1062"/>
      <c r="X249" s="1062"/>
      <c r="Y249" s="1062"/>
      <c r="Z249" s="1062"/>
      <c r="AA249" s="1546"/>
      <c r="AB249" s="490"/>
      <c r="AC249" s="490"/>
      <c r="AD249" s="490"/>
      <c r="AE249" s="490"/>
    </row>
    <row r="250" spans="1:31" s="1907" customFormat="1" ht="11.25" customHeight="1">
      <c r="A250" s="897"/>
      <c r="B250" s="1550"/>
      <c r="C250" s="1550"/>
      <c r="D250" s="275"/>
      <c r="K250" s="1062"/>
      <c r="L250" s="1550"/>
      <c r="M250" s="1550"/>
      <c r="N250" s="1062"/>
      <c r="O250" s="1062"/>
      <c r="P250" s="1062"/>
      <c r="Q250" s="1062"/>
      <c r="R250" s="1550"/>
      <c r="S250" s="1062"/>
      <c r="T250" s="1062"/>
      <c r="U250" s="468"/>
      <c r="V250" s="1062"/>
      <c r="W250" s="1062"/>
      <c r="X250" s="1062"/>
      <c r="Y250" s="1062"/>
      <c r="Z250" s="1062"/>
      <c r="AA250" s="1546"/>
      <c r="AB250" s="490"/>
      <c r="AC250" s="490"/>
      <c r="AD250" s="490"/>
      <c r="AE250" s="490"/>
    </row>
    <row r="251" spans="1:31" s="1907" customFormat="1" ht="11.25" customHeight="1">
      <c r="A251" s="897"/>
      <c r="B251" s="1550"/>
      <c r="C251" s="1550"/>
      <c r="D251" s="275"/>
      <c r="K251" s="1062"/>
      <c r="L251" s="1550"/>
      <c r="M251" s="1550"/>
      <c r="N251" s="1062"/>
      <c r="O251" s="1062"/>
      <c r="P251" s="1062"/>
      <c r="Q251" s="1062"/>
      <c r="R251" s="1550"/>
      <c r="S251" s="1062"/>
      <c r="T251" s="1062"/>
      <c r="U251" s="468"/>
      <c r="V251" s="1062"/>
      <c r="W251" s="1062"/>
      <c r="X251" s="1062"/>
      <c r="Y251" s="1062"/>
      <c r="Z251" s="1062"/>
      <c r="AA251" s="1546"/>
      <c r="AB251" s="490"/>
      <c r="AC251" s="490"/>
      <c r="AD251" s="490"/>
      <c r="AE251" s="490"/>
    </row>
    <row r="252" spans="1:31" s="1907" customFormat="1" ht="11.25" customHeight="1">
      <c r="A252" s="897"/>
      <c r="B252" s="1550"/>
      <c r="C252" s="1550"/>
      <c r="D252" s="275"/>
      <c r="K252" s="1062"/>
      <c r="L252" s="1550"/>
      <c r="M252" s="1550"/>
      <c r="N252" s="1062"/>
      <c r="O252" s="1062"/>
      <c r="P252" s="1062"/>
      <c r="Q252" s="1062"/>
      <c r="R252" s="1550"/>
      <c r="S252" s="1062"/>
      <c r="T252" s="1062"/>
      <c r="U252" s="468"/>
      <c r="V252" s="1062"/>
      <c r="W252" s="1062"/>
      <c r="X252" s="1062"/>
      <c r="Y252" s="1062"/>
      <c r="Z252" s="1062"/>
      <c r="AA252" s="1546"/>
      <c r="AB252" s="490"/>
      <c r="AC252" s="490"/>
      <c r="AD252" s="490"/>
      <c r="AE252" s="490"/>
    </row>
    <row r="253" spans="1:31" s="1907" customFormat="1" ht="11.25" customHeight="1">
      <c r="A253" s="897"/>
      <c r="B253" s="1550"/>
      <c r="C253" s="1550"/>
      <c r="D253" s="275"/>
      <c r="K253" s="1062"/>
      <c r="L253" s="1550"/>
      <c r="M253" s="1550"/>
      <c r="N253" s="1062"/>
      <c r="O253" s="1062"/>
      <c r="P253" s="1062"/>
      <c r="Q253" s="1062"/>
      <c r="R253" s="1550"/>
      <c r="S253" s="1062"/>
      <c r="T253" s="1062"/>
      <c r="U253" s="468"/>
      <c r="V253" s="1062"/>
      <c r="W253" s="1062"/>
      <c r="X253" s="1062"/>
      <c r="Y253" s="1062"/>
      <c r="Z253" s="1062"/>
      <c r="AA253" s="1546"/>
      <c r="AB253" s="490"/>
      <c r="AC253" s="490"/>
      <c r="AD253" s="490"/>
      <c r="AE253" s="490"/>
    </row>
    <row r="254" spans="1:31" s="1907" customFormat="1" ht="11.25" customHeight="1">
      <c r="A254" s="897"/>
      <c r="B254" s="1550"/>
      <c r="C254" s="1550"/>
      <c r="D254" s="275"/>
      <c r="K254" s="1062"/>
      <c r="L254" s="1550"/>
      <c r="M254" s="1550"/>
      <c r="N254" s="1062"/>
      <c r="O254" s="1062"/>
      <c r="P254" s="1062"/>
      <c r="Q254" s="1062"/>
      <c r="R254" s="1550"/>
      <c r="S254" s="1062"/>
      <c r="T254" s="1062"/>
      <c r="U254" s="468"/>
      <c r="V254" s="1062"/>
      <c r="W254" s="1062"/>
      <c r="X254" s="1062"/>
      <c r="Y254" s="1062"/>
      <c r="Z254" s="1062"/>
      <c r="AA254" s="1546"/>
      <c r="AB254" s="490"/>
      <c r="AC254" s="490"/>
      <c r="AD254" s="490"/>
      <c r="AE254" s="490"/>
    </row>
    <row r="255" spans="1:31" s="1907" customFormat="1" ht="11.25" customHeight="1">
      <c r="A255" s="897"/>
      <c r="B255" s="1550"/>
      <c r="C255" s="1550"/>
      <c r="D255" s="275"/>
      <c r="K255" s="1062"/>
      <c r="L255" s="1550"/>
      <c r="M255" s="1550"/>
      <c r="N255" s="1062"/>
      <c r="O255" s="1062"/>
      <c r="P255" s="1062"/>
      <c r="Q255" s="1062"/>
      <c r="R255" s="1550"/>
      <c r="S255" s="1062"/>
      <c r="T255" s="1062"/>
      <c r="U255" s="468"/>
      <c r="V255" s="1062"/>
      <c r="W255" s="1062"/>
      <c r="X255" s="1062"/>
      <c r="Y255" s="1062"/>
      <c r="Z255" s="1062"/>
      <c r="AA255" s="1546"/>
      <c r="AB255" s="490"/>
      <c r="AC255" s="490"/>
      <c r="AD255" s="490"/>
      <c r="AE255" s="490"/>
    </row>
    <row r="256" spans="1:31" s="1907" customFormat="1" ht="11.25" customHeight="1">
      <c r="A256" s="897"/>
      <c r="B256" s="1550"/>
      <c r="C256" s="1550"/>
      <c r="D256" s="275"/>
      <c r="K256" s="1062"/>
      <c r="L256" s="1550"/>
      <c r="M256" s="1550"/>
      <c r="N256" s="1062"/>
      <c r="O256" s="1062"/>
      <c r="P256" s="1062"/>
      <c r="Q256" s="1062"/>
      <c r="R256" s="1550"/>
      <c r="S256" s="1062"/>
      <c r="T256" s="1062"/>
      <c r="U256" s="468"/>
      <c r="V256" s="1062"/>
      <c r="W256" s="1062"/>
      <c r="X256" s="1062"/>
      <c r="Y256" s="1062"/>
      <c r="Z256" s="1062"/>
      <c r="AA256" s="1546"/>
      <c r="AB256" s="490"/>
      <c r="AC256" s="490"/>
      <c r="AD256" s="490"/>
      <c r="AE256" s="490"/>
    </row>
    <row r="257" spans="1:31" s="1907" customFormat="1" ht="11.25" customHeight="1">
      <c r="A257" s="897"/>
      <c r="B257" s="1550"/>
      <c r="C257" s="1550"/>
      <c r="D257" s="275"/>
      <c r="K257" s="1062"/>
      <c r="L257" s="1550"/>
      <c r="M257" s="1550"/>
      <c r="N257" s="1062"/>
      <c r="O257" s="1062"/>
      <c r="P257" s="1062"/>
      <c r="Q257" s="1062"/>
      <c r="R257" s="1550"/>
      <c r="S257" s="1062"/>
      <c r="T257" s="1062"/>
      <c r="U257" s="468"/>
      <c r="V257" s="1062"/>
      <c r="W257" s="1062"/>
      <c r="X257" s="1062"/>
      <c r="Y257" s="1062"/>
      <c r="Z257" s="1062"/>
      <c r="AA257" s="1546"/>
      <c r="AB257" s="490"/>
      <c r="AC257" s="490"/>
      <c r="AD257" s="490"/>
      <c r="AE257" s="490"/>
    </row>
    <row r="258" spans="1:31" s="1907" customFormat="1" ht="11.25" customHeight="1">
      <c r="A258" s="897"/>
      <c r="B258" s="1550"/>
      <c r="C258" s="1550"/>
      <c r="D258" s="275"/>
      <c r="K258" s="1062"/>
      <c r="L258" s="1550"/>
      <c r="M258" s="1550"/>
      <c r="N258" s="1062"/>
      <c r="O258" s="1062"/>
      <c r="P258" s="1062"/>
      <c r="Q258" s="1062"/>
      <c r="R258" s="1550"/>
      <c r="S258" s="1062"/>
      <c r="T258" s="1062"/>
      <c r="U258" s="468"/>
      <c r="V258" s="1062"/>
      <c r="W258" s="1062"/>
      <c r="X258" s="1062"/>
      <c r="Y258" s="1062"/>
      <c r="Z258" s="1062"/>
      <c r="AA258" s="1546"/>
      <c r="AB258" s="490"/>
      <c r="AC258" s="490"/>
      <c r="AD258" s="490"/>
      <c r="AE258" s="490"/>
    </row>
    <row r="259" spans="1:31" s="1907" customFormat="1" ht="11.25" customHeight="1">
      <c r="A259" s="897"/>
      <c r="B259" s="1550"/>
      <c r="C259" s="1550"/>
      <c r="D259" s="275"/>
      <c r="K259" s="1062"/>
      <c r="L259" s="1550"/>
      <c r="M259" s="1550"/>
      <c r="N259" s="1062"/>
      <c r="O259" s="1062"/>
      <c r="P259" s="1062"/>
      <c r="Q259" s="1062"/>
      <c r="R259" s="1550"/>
      <c r="S259" s="1062"/>
      <c r="T259" s="1062"/>
      <c r="U259" s="468"/>
      <c r="V259" s="1062"/>
      <c r="W259" s="1062"/>
      <c r="X259" s="1062"/>
      <c r="Y259" s="1062"/>
      <c r="Z259" s="1062"/>
      <c r="AA259" s="1546"/>
      <c r="AB259" s="490"/>
      <c r="AC259" s="490"/>
      <c r="AD259" s="490"/>
      <c r="AE259" s="490"/>
    </row>
    <row r="260" spans="1:31" s="1907" customFormat="1" ht="11.25" customHeight="1">
      <c r="A260" s="897"/>
      <c r="B260" s="1550"/>
      <c r="C260" s="1550"/>
      <c r="D260" s="275"/>
      <c r="K260" s="1062"/>
      <c r="L260" s="1550"/>
      <c r="M260" s="1550"/>
      <c r="N260" s="1062"/>
      <c r="O260" s="1062"/>
      <c r="P260" s="1062"/>
      <c r="Q260" s="1062"/>
      <c r="R260" s="1550"/>
      <c r="S260" s="1062"/>
      <c r="T260" s="1062"/>
      <c r="U260" s="468"/>
      <c r="V260" s="1062"/>
      <c r="W260" s="1062"/>
      <c r="X260" s="1062"/>
      <c r="Y260" s="1062"/>
      <c r="Z260" s="1062"/>
      <c r="AA260" s="1546"/>
      <c r="AB260" s="490"/>
      <c r="AC260" s="490"/>
      <c r="AD260" s="490"/>
      <c r="AE260" s="490"/>
    </row>
    <row r="261" spans="1:31" s="1907" customFormat="1" ht="11.25" customHeight="1">
      <c r="A261" s="897"/>
      <c r="B261" s="1550"/>
      <c r="C261" s="1550"/>
      <c r="D261" s="275"/>
      <c r="K261" s="1062"/>
      <c r="L261" s="1550"/>
      <c r="M261" s="1550"/>
      <c r="N261" s="1062"/>
      <c r="O261" s="1062"/>
      <c r="P261" s="1062"/>
      <c r="Q261" s="1062"/>
      <c r="R261" s="1550"/>
      <c r="S261" s="1062"/>
      <c r="T261" s="1062"/>
      <c r="U261" s="468"/>
      <c r="V261" s="1062"/>
      <c r="W261" s="1062"/>
      <c r="X261" s="1062"/>
      <c r="Y261" s="1062"/>
      <c r="Z261" s="1062"/>
      <c r="AA261" s="1546"/>
      <c r="AB261" s="490"/>
      <c r="AC261" s="490"/>
      <c r="AD261" s="490"/>
      <c r="AE261" s="490"/>
    </row>
    <row r="262" spans="1:31" s="1907" customFormat="1" ht="11.25" customHeight="1">
      <c r="A262" s="897"/>
      <c r="B262" s="1550"/>
      <c r="C262" s="1550"/>
      <c r="D262" s="275"/>
      <c r="K262" s="1062"/>
      <c r="L262" s="1550"/>
      <c r="M262" s="1550"/>
      <c r="N262" s="1062"/>
      <c r="O262" s="1062"/>
      <c r="P262" s="1062"/>
      <c r="Q262" s="1062"/>
      <c r="R262" s="1550"/>
      <c r="S262" s="1062"/>
      <c r="T262" s="1062"/>
      <c r="U262" s="468"/>
      <c r="V262" s="1062"/>
      <c r="W262" s="1062"/>
      <c r="X262" s="1062"/>
      <c r="Y262" s="1062"/>
      <c r="Z262" s="1062"/>
      <c r="AA262" s="1546"/>
      <c r="AB262" s="490"/>
      <c r="AC262" s="490"/>
      <c r="AD262" s="490"/>
      <c r="AE262" s="490"/>
    </row>
    <row r="263" spans="1:31" s="1907" customFormat="1" ht="11.25" customHeight="1">
      <c r="A263" s="897"/>
      <c r="B263" s="1550"/>
      <c r="C263" s="1550"/>
      <c r="D263" s="275"/>
      <c r="K263" s="1062"/>
      <c r="L263" s="1550"/>
      <c r="M263" s="1550"/>
      <c r="N263" s="1062"/>
      <c r="O263" s="1062"/>
      <c r="P263" s="1062"/>
      <c r="Q263" s="1062"/>
      <c r="R263" s="1550"/>
      <c r="S263" s="1062"/>
      <c r="T263" s="1062"/>
      <c r="U263" s="468"/>
      <c r="V263" s="1062"/>
      <c r="W263" s="1062"/>
      <c r="X263" s="1062"/>
      <c r="Y263" s="1062"/>
      <c r="Z263" s="1062"/>
      <c r="AA263" s="1546"/>
      <c r="AB263" s="490"/>
      <c r="AC263" s="490"/>
      <c r="AD263" s="490"/>
      <c r="AE263" s="490"/>
    </row>
    <row r="264" spans="1:31" s="1907" customFormat="1" ht="11.25" customHeight="1">
      <c r="A264" s="897"/>
      <c r="B264" s="1550"/>
      <c r="C264" s="1550"/>
      <c r="D264" s="275"/>
      <c r="K264" s="1062"/>
      <c r="L264" s="1550"/>
      <c r="M264" s="1550"/>
      <c r="N264" s="1062"/>
      <c r="O264" s="1062"/>
      <c r="P264" s="1062"/>
      <c r="Q264" s="1062"/>
      <c r="R264" s="1550"/>
      <c r="S264" s="1062"/>
      <c r="T264" s="1062"/>
      <c r="U264" s="468"/>
      <c r="V264" s="1062"/>
      <c r="W264" s="1062"/>
      <c r="X264" s="1062"/>
      <c r="Y264" s="1062"/>
      <c r="Z264" s="1062"/>
      <c r="AA264" s="1546"/>
      <c r="AB264" s="490"/>
      <c r="AC264" s="490"/>
      <c r="AD264" s="490"/>
      <c r="AE264" s="490"/>
    </row>
    <row r="265" spans="1:31" s="1907" customFormat="1" ht="11.25" customHeight="1">
      <c r="A265" s="897"/>
      <c r="B265" s="1550"/>
      <c r="C265" s="1550"/>
      <c r="D265" s="275"/>
      <c r="K265" s="1062"/>
      <c r="L265" s="1550"/>
      <c r="M265" s="1550"/>
      <c r="N265" s="1062"/>
      <c r="O265" s="1062"/>
      <c r="P265" s="1062"/>
      <c r="Q265" s="1062"/>
      <c r="R265" s="1550"/>
      <c r="S265" s="1062"/>
      <c r="T265" s="1062"/>
      <c r="U265" s="468"/>
      <c r="V265" s="1062"/>
      <c r="W265" s="1062"/>
      <c r="X265" s="1062"/>
      <c r="Y265" s="1062"/>
      <c r="Z265" s="1062"/>
      <c r="AA265" s="1546"/>
      <c r="AB265" s="490"/>
      <c r="AC265" s="490"/>
      <c r="AD265" s="490"/>
      <c r="AE265" s="490"/>
    </row>
    <row r="266" spans="1:31" s="1907" customFormat="1" ht="11.25" customHeight="1">
      <c r="A266" s="897"/>
      <c r="B266" s="1550"/>
      <c r="C266" s="1550"/>
      <c r="D266" s="275"/>
      <c r="K266" s="1062"/>
      <c r="L266" s="1550"/>
      <c r="M266" s="1550"/>
      <c r="N266" s="1062"/>
      <c r="O266" s="1062"/>
      <c r="P266" s="1062"/>
      <c r="Q266" s="1062"/>
      <c r="R266" s="1550"/>
      <c r="S266" s="1062"/>
      <c r="T266" s="1062"/>
      <c r="U266" s="468"/>
      <c r="V266" s="1062"/>
      <c r="W266" s="1062"/>
      <c r="X266" s="1062"/>
      <c r="Y266" s="1062"/>
      <c r="Z266" s="1062"/>
      <c r="AA266" s="1546"/>
      <c r="AB266" s="490"/>
      <c r="AC266" s="490"/>
      <c r="AD266" s="490"/>
      <c r="AE266" s="490"/>
    </row>
    <row r="267" spans="1:31" s="1907" customFormat="1" ht="11.25" customHeight="1">
      <c r="A267" s="897"/>
      <c r="B267" s="1550"/>
      <c r="C267" s="1550"/>
      <c r="D267" s="275"/>
      <c r="K267" s="1062"/>
      <c r="L267" s="1550"/>
      <c r="M267" s="1550"/>
      <c r="N267" s="1062"/>
      <c r="O267" s="1062"/>
      <c r="P267" s="1062"/>
      <c r="Q267" s="1062"/>
      <c r="R267" s="1550"/>
      <c r="S267" s="1062"/>
      <c r="T267" s="1062"/>
      <c r="U267" s="468"/>
      <c r="V267" s="1062"/>
      <c r="W267" s="1062"/>
      <c r="X267" s="1062"/>
      <c r="Y267" s="1062"/>
      <c r="Z267" s="1062"/>
      <c r="AA267" s="1546"/>
      <c r="AB267" s="490"/>
      <c r="AC267" s="490"/>
      <c r="AD267" s="490"/>
      <c r="AE267" s="490"/>
    </row>
    <row r="268" spans="1:31" s="1907" customFormat="1" ht="11.25" customHeight="1">
      <c r="A268" s="897"/>
      <c r="B268" s="1550"/>
      <c r="C268" s="1550"/>
      <c r="D268" s="275"/>
      <c r="K268" s="1062"/>
      <c r="L268" s="1550"/>
      <c r="M268" s="1550"/>
      <c r="N268" s="1062"/>
      <c r="O268" s="1062"/>
      <c r="P268" s="1062"/>
      <c r="Q268" s="1062"/>
      <c r="R268" s="1550"/>
      <c r="S268" s="1062"/>
      <c r="T268" s="1062"/>
      <c r="U268" s="468"/>
      <c r="V268" s="1062"/>
      <c r="W268" s="1062"/>
      <c r="X268" s="1062"/>
      <c r="Y268" s="1062"/>
      <c r="Z268" s="1062"/>
      <c r="AA268" s="1546"/>
      <c r="AB268" s="490"/>
      <c r="AC268" s="490"/>
      <c r="AD268" s="490"/>
      <c r="AE268" s="490"/>
    </row>
    <row r="269" spans="1:31" s="1907" customFormat="1" ht="11.25" customHeight="1">
      <c r="A269" s="897"/>
      <c r="B269" s="1550"/>
      <c r="C269" s="1550"/>
      <c r="D269" s="275"/>
      <c r="K269" s="1062"/>
      <c r="L269" s="1550"/>
      <c r="M269" s="1550"/>
      <c r="N269" s="1062"/>
      <c r="O269" s="1062"/>
      <c r="P269" s="1062"/>
      <c r="Q269" s="1062"/>
      <c r="R269" s="1550"/>
      <c r="S269" s="1062"/>
      <c r="T269" s="1062"/>
      <c r="U269" s="468"/>
      <c r="V269" s="1062"/>
      <c r="W269" s="1062"/>
      <c r="X269" s="1062"/>
      <c r="Y269" s="1062"/>
      <c r="Z269" s="1062"/>
      <c r="AA269" s="1546"/>
      <c r="AB269" s="490"/>
      <c r="AC269" s="490"/>
      <c r="AD269" s="490"/>
      <c r="AE269" s="490"/>
    </row>
    <row r="270" spans="1:31" s="1907" customFormat="1" ht="11.25" customHeight="1">
      <c r="A270" s="897"/>
      <c r="B270" s="1550"/>
      <c r="C270" s="1550"/>
      <c r="D270" s="275"/>
      <c r="K270" s="1062"/>
      <c r="L270" s="1550"/>
      <c r="M270" s="1550"/>
      <c r="N270" s="1062"/>
      <c r="O270" s="1062"/>
      <c r="P270" s="1062"/>
      <c r="Q270" s="1062"/>
      <c r="R270" s="1550"/>
      <c r="S270" s="1062"/>
      <c r="T270" s="1062"/>
      <c r="U270" s="468"/>
      <c r="V270" s="1062"/>
      <c r="W270" s="1062"/>
      <c r="X270" s="1062"/>
      <c r="Y270" s="1062"/>
      <c r="Z270" s="1062"/>
      <c r="AA270" s="1546"/>
      <c r="AB270" s="490"/>
      <c r="AC270" s="490"/>
      <c r="AD270" s="490"/>
      <c r="AE270" s="490"/>
    </row>
    <row r="271" spans="1:31" s="1907" customFormat="1" ht="11.25" customHeight="1">
      <c r="A271" s="897"/>
      <c r="B271" s="1550"/>
      <c r="C271" s="1550"/>
      <c r="D271" s="275"/>
      <c r="K271" s="1062"/>
      <c r="L271" s="1550"/>
      <c r="M271" s="1550"/>
      <c r="N271" s="1062"/>
      <c r="O271" s="1062"/>
      <c r="P271" s="1062"/>
      <c r="Q271" s="1062"/>
      <c r="R271" s="1550"/>
      <c r="S271" s="1062"/>
      <c r="T271" s="1062"/>
      <c r="U271" s="468"/>
      <c r="V271" s="1062"/>
      <c r="W271" s="1062"/>
      <c r="X271" s="1062"/>
      <c r="Y271" s="1062"/>
      <c r="Z271" s="1062"/>
      <c r="AA271" s="1546"/>
      <c r="AB271" s="490"/>
      <c r="AC271" s="490"/>
      <c r="AD271" s="490"/>
      <c r="AE271" s="490"/>
    </row>
    <row r="272" spans="1:31" s="1907" customFormat="1" ht="11.25" customHeight="1">
      <c r="A272" s="897"/>
      <c r="B272" s="1550"/>
      <c r="C272" s="1550"/>
      <c r="D272" s="275"/>
      <c r="K272" s="1062"/>
      <c r="L272" s="1550"/>
      <c r="M272" s="1550"/>
      <c r="N272" s="1062"/>
      <c r="O272" s="1062"/>
      <c r="P272" s="1062"/>
      <c r="Q272" s="1062"/>
      <c r="R272" s="1550"/>
      <c r="S272" s="1062"/>
      <c r="T272" s="1062"/>
      <c r="U272" s="468"/>
      <c r="V272" s="1062"/>
      <c r="W272" s="1062"/>
      <c r="X272" s="1062"/>
      <c r="Y272" s="1062"/>
      <c r="Z272" s="1062"/>
      <c r="AA272" s="1546"/>
      <c r="AB272" s="490"/>
      <c r="AC272" s="490"/>
      <c r="AD272" s="490"/>
      <c r="AE272" s="490"/>
    </row>
    <row r="273" spans="1:31" s="1907" customFormat="1" ht="11.25" customHeight="1">
      <c r="A273" s="897"/>
      <c r="B273" s="1550"/>
      <c r="C273" s="1550"/>
      <c r="D273" s="275"/>
      <c r="K273" s="1062"/>
      <c r="L273" s="1550"/>
      <c r="M273" s="1550"/>
      <c r="N273" s="1062"/>
      <c r="O273" s="1062"/>
      <c r="P273" s="1062"/>
      <c r="Q273" s="1062"/>
      <c r="R273" s="1550"/>
      <c r="S273" s="1062"/>
      <c r="T273" s="1062"/>
      <c r="U273" s="468"/>
      <c r="V273" s="1062"/>
      <c r="W273" s="1062"/>
      <c r="X273" s="1062"/>
      <c r="Y273" s="1062"/>
      <c r="Z273" s="1062"/>
      <c r="AA273" s="1546"/>
      <c r="AB273" s="490"/>
      <c r="AC273" s="490"/>
      <c r="AD273" s="490"/>
      <c r="AE273" s="490"/>
    </row>
    <row r="274" spans="1:31" s="1907" customFormat="1" ht="11.25" customHeight="1">
      <c r="A274" s="897"/>
      <c r="B274" s="1550"/>
      <c r="C274" s="1550"/>
      <c r="D274" s="275"/>
      <c r="K274" s="1062"/>
      <c r="L274" s="1550"/>
      <c r="M274" s="1550"/>
      <c r="N274" s="1062"/>
      <c r="O274" s="1062"/>
      <c r="P274" s="1062"/>
      <c r="Q274" s="1062"/>
      <c r="R274" s="1550"/>
      <c r="S274" s="1062"/>
      <c r="T274" s="1062"/>
      <c r="U274" s="468"/>
      <c r="V274" s="1062"/>
      <c r="W274" s="1062"/>
      <c r="X274" s="1062"/>
      <c r="Y274" s="1062"/>
      <c r="Z274" s="1062"/>
      <c r="AA274" s="1546"/>
      <c r="AB274" s="490"/>
      <c r="AC274" s="490"/>
      <c r="AD274" s="490"/>
      <c r="AE274" s="490"/>
    </row>
    <row r="275" spans="1:31" s="1907" customFormat="1" ht="11.25" customHeight="1">
      <c r="A275" s="897"/>
      <c r="B275" s="1550"/>
      <c r="C275" s="1550"/>
      <c r="D275" s="275"/>
      <c r="K275" s="1062"/>
      <c r="L275" s="1550"/>
      <c r="M275" s="1550"/>
      <c r="N275" s="1062"/>
      <c r="O275" s="1062"/>
      <c r="P275" s="1062"/>
      <c r="Q275" s="1062"/>
      <c r="R275" s="1550"/>
      <c r="S275" s="1062"/>
      <c r="T275" s="1062"/>
      <c r="U275" s="468"/>
      <c r="V275" s="1062"/>
      <c r="W275" s="1062"/>
      <c r="X275" s="1062"/>
      <c r="Y275" s="1062"/>
      <c r="Z275" s="1062"/>
      <c r="AA275" s="1546"/>
      <c r="AB275" s="490"/>
      <c r="AC275" s="490"/>
      <c r="AD275" s="490"/>
      <c r="AE275" s="490"/>
    </row>
    <row r="276" spans="1:31" s="1907" customFormat="1" ht="11.25" customHeight="1">
      <c r="A276" s="897"/>
      <c r="B276" s="1550"/>
      <c r="C276" s="1550"/>
      <c r="D276" s="275"/>
      <c r="K276" s="1062"/>
      <c r="L276" s="1550"/>
      <c r="M276" s="1550"/>
      <c r="N276" s="1062"/>
      <c r="O276" s="1062"/>
      <c r="P276" s="1062"/>
      <c r="Q276" s="1062"/>
      <c r="R276" s="1550"/>
      <c r="S276" s="1062"/>
      <c r="T276" s="1062"/>
      <c r="U276" s="468"/>
      <c r="V276" s="1062"/>
      <c r="W276" s="1062"/>
      <c r="X276" s="1062"/>
      <c r="Y276" s="1062"/>
      <c r="Z276" s="1062"/>
      <c r="AA276" s="1546"/>
      <c r="AB276" s="490"/>
      <c r="AC276" s="490"/>
      <c r="AD276" s="490"/>
      <c r="AE276" s="490"/>
    </row>
    <row r="277" spans="1:31" s="1907" customFormat="1" ht="11.25" customHeight="1">
      <c r="A277" s="897"/>
      <c r="B277" s="1550"/>
      <c r="C277" s="1550"/>
      <c r="D277" s="275"/>
      <c r="K277" s="1062"/>
      <c r="L277" s="1550"/>
      <c r="M277" s="1550"/>
      <c r="N277" s="1062"/>
      <c r="O277" s="1062"/>
      <c r="P277" s="1062"/>
      <c r="Q277" s="1062"/>
      <c r="R277" s="1550"/>
      <c r="S277" s="1062"/>
      <c r="T277" s="1062"/>
      <c r="U277" s="468"/>
      <c r="V277" s="1062"/>
      <c r="W277" s="1062"/>
      <c r="X277" s="1062"/>
      <c r="Y277" s="1062"/>
      <c r="Z277" s="1062"/>
      <c r="AA277" s="1546"/>
      <c r="AB277" s="490"/>
      <c r="AC277" s="490"/>
      <c r="AD277" s="490"/>
      <c r="AE277" s="490"/>
    </row>
    <row r="278" spans="1:31" s="1907" customFormat="1" ht="11.25" customHeight="1">
      <c r="A278" s="897"/>
      <c r="B278" s="1550"/>
      <c r="C278" s="1550"/>
      <c r="D278" s="275"/>
      <c r="K278" s="1062"/>
      <c r="L278" s="1550"/>
      <c r="M278" s="1550"/>
      <c r="N278" s="1062"/>
      <c r="O278" s="1062"/>
      <c r="P278" s="1062"/>
      <c r="Q278" s="1062"/>
      <c r="R278" s="1550"/>
      <c r="S278" s="1062"/>
      <c r="T278" s="1062"/>
      <c r="U278" s="468"/>
      <c r="V278" s="1062"/>
      <c r="W278" s="1062"/>
      <c r="X278" s="1062"/>
      <c r="Y278" s="1062"/>
      <c r="Z278" s="1062"/>
      <c r="AA278" s="1546"/>
      <c r="AB278" s="490"/>
      <c r="AC278" s="490"/>
      <c r="AD278" s="490"/>
      <c r="AE278" s="490"/>
    </row>
    <row r="279" spans="1:31" s="1907" customFormat="1" ht="11.25" customHeight="1">
      <c r="A279" s="897"/>
      <c r="B279" s="1550"/>
      <c r="C279" s="1550"/>
      <c r="D279" s="275"/>
      <c r="K279" s="1062"/>
      <c r="L279" s="1550"/>
      <c r="M279" s="1550"/>
      <c r="N279" s="1062"/>
      <c r="O279" s="1062"/>
      <c r="P279" s="1062"/>
      <c r="Q279" s="1062"/>
      <c r="R279" s="1550"/>
      <c r="S279" s="1062"/>
      <c r="T279" s="1062"/>
      <c r="U279" s="468"/>
      <c r="V279" s="1062"/>
      <c r="W279" s="1062"/>
      <c r="X279" s="1062"/>
      <c r="Y279" s="1062"/>
      <c r="Z279" s="1062"/>
      <c r="AA279" s="1546"/>
      <c r="AB279" s="490"/>
      <c r="AC279" s="490"/>
      <c r="AD279" s="490"/>
      <c r="AE279" s="490"/>
    </row>
    <row r="280" spans="1:31" s="1907" customFormat="1" ht="11.25" customHeight="1">
      <c r="A280" s="897"/>
      <c r="B280" s="1550"/>
      <c r="C280" s="1550"/>
      <c r="D280" s="275"/>
      <c r="K280" s="1062"/>
      <c r="L280" s="1550"/>
      <c r="M280" s="1550"/>
      <c r="N280" s="1062"/>
      <c r="O280" s="1062"/>
      <c r="P280" s="1062"/>
      <c r="Q280" s="1062"/>
      <c r="R280" s="1550"/>
      <c r="S280" s="1062"/>
      <c r="T280" s="1062"/>
      <c r="U280" s="468"/>
      <c r="V280" s="1062"/>
      <c r="W280" s="1062"/>
      <c r="X280" s="1062"/>
      <c r="Y280" s="1062"/>
      <c r="Z280" s="1062"/>
      <c r="AA280" s="1546"/>
      <c r="AB280" s="490"/>
      <c r="AC280" s="490"/>
      <c r="AD280" s="490"/>
      <c r="AE280" s="490"/>
    </row>
    <row r="281" spans="1:31" s="1907" customFormat="1" ht="11.25" customHeight="1">
      <c r="A281" s="897"/>
      <c r="B281" s="1550"/>
      <c r="C281" s="1550"/>
      <c r="D281" s="275"/>
      <c r="K281" s="1062"/>
      <c r="L281" s="1550"/>
      <c r="M281" s="1550"/>
      <c r="N281" s="1062"/>
      <c r="O281" s="1062"/>
      <c r="P281" s="1062"/>
      <c r="Q281" s="1062"/>
      <c r="R281" s="1550"/>
      <c r="S281" s="1062"/>
      <c r="T281" s="1062"/>
      <c r="U281" s="468"/>
      <c r="V281" s="1062"/>
      <c r="W281" s="1062"/>
      <c r="X281" s="1062"/>
      <c r="Y281" s="1062"/>
      <c r="Z281" s="1062"/>
      <c r="AA281" s="1546"/>
      <c r="AB281" s="490"/>
      <c r="AC281" s="490"/>
      <c r="AD281" s="490"/>
      <c r="AE281" s="490"/>
    </row>
    <row r="282" spans="1:31" s="1907" customFormat="1" ht="11.25" customHeight="1">
      <c r="A282" s="897"/>
      <c r="B282" s="1550"/>
      <c r="C282" s="1550"/>
      <c r="D282" s="275"/>
      <c r="K282" s="1062"/>
      <c r="L282" s="1550"/>
      <c r="M282" s="1550"/>
      <c r="N282" s="1062"/>
      <c r="O282" s="1062"/>
      <c r="P282" s="1062"/>
      <c r="Q282" s="1062"/>
      <c r="R282" s="1550"/>
      <c r="S282" s="1062"/>
      <c r="T282" s="1062"/>
      <c r="U282" s="468"/>
      <c r="V282" s="1062"/>
      <c r="W282" s="1062"/>
      <c r="X282" s="1062"/>
      <c r="Y282" s="1062"/>
      <c r="Z282" s="1062"/>
      <c r="AA282" s="1546"/>
      <c r="AB282" s="490"/>
      <c r="AC282" s="490"/>
      <c r="AD282" s="490"/>
      <c r="AE282" s="490"/>
    </row>
    <row r="283" spans="1:31" s="1907" customFormat="1" ht="11.25" customHeight="1">
      <c r="A283" s="897"/>
      <c r="B283" s="1550"/>
      <c r="C283" s="1550"/>
      <c r="D283" s="275"/>
      <c r="K283" s="1062"/>
      <c r="L283" s="1550"/>
      <c r="M283" s="1550"/>
      <c r="N283" s="1062"/>
      <c r="O283" s="1062"/>
      <c r="P283" s="1062"/>
      <c r="Q283" s="1062"/>
      <c r="R283" s="1550"/>
      <c r="S283" s="1062"/>
      <c r="T283" s="1062"/>
      <c r="U283" s="468"/>
      <c r="V283" s="1062"/>
      <c r="W283" s="1062"/>
      <c r="X283" s="1062"/>
      <c r="Y283" s="1062"/>
      <c r="Z283" s="1062"/>
      <c r="AA283" s="1546"/>
      <c r="AB283" s="490"/>
      <c r="AC283" s="490"/>
      <c r="AD283" s="490"/>
      <c r="AE283" s="490"/>
    </row>
    <row r="284" spans="1:31" s="1907" customFormat="1" ht="11.25" customHeight="1">
      <c r="A284" s="897"/>
      <c r="B284" s="1550"/>
      <c r="C284" s="1550"/>
      <c r="D284" s="275"/>
      <c r="K284" s="1062"/>
      <c r="L284" s="1550"/>
      <c r="M284" s="1550"/>
      <c r="N284" s="1062"/>
      <c r="O284" s="1062"/>
      <c r="P284" s="1062"/>
      <c r="Q284" s="1062"/>
      <c r="R284" s="1550"/>
      <c r="S284" s="1062"/>
      <c r="T284" s="1062"/>
      <c r="U284" s="468"/>
      <c r="V284" s="1062"/>
      <c r="W284" s="1062"/>
      <c r="X284" s="1062"/>
      <c r="Y284" s="1062"/>
      <c r="Z284" s="1062"/>
      <c r="AA284" s="1546"/>
      <c r="AB284" s="490"/>
      <c r="AC284" s="490"/>
      <c r="AD284" s="490"/>
      <c r="AE284" s="490"/>
    </row>
    <row r="285" spans="1:31" s="1907" customFormat="1" ht="11.25" customHeight="1">
      <c r="A285" s="897"/>
      <c r="B285" s="1550"/>
      <c r="C285" s="1550"/>
      <c r="D285" s="275"/>
      <c r="K285" s="1062"/>
      <c r="L285" s="1550"/>
      <c r="M285" s="1550"/>
      <c r="N285" s="1062"/>
      <c r="O285" s="1062"/>
      <c r="P285" s="1062"/>
      <c r="Q285" s="1062"/>
      <c r="R285" s="1550"/>
      <c r="S285" s="1062"/>
      <c r="T285" s="1062"/>
      <c r="U285" s="468"/>
      <c r="V285" s="1062"/>
      <c r="W285" s="1062"/>
      <c r="X285" s="1062"/>
      <c r="Y285" s="1062"/>
      <c r="Z285" s="1062"/>
      <c r="AA285" s="1546"/>
      <c r="AB285" s="490"/>
      <c r="AC285" s="490"/>
      <c r="AD285" s="490"/>
      <c r="AE285" s="490"/>
    </row>
    <row r="286" spans="1:31" s="1907" customFormat="1" ht="11.25" customHeight="1">
      <c r="A286" s="897"/>
      <c r="B286" s="1550"/>
      <c r="C286" s="1550"/>
      <c r="D286" s="275"/>
      <c r="K286" s="1062"/>
      <c r="L286" s="1550"/>
      <c r="M286" s="1550"/>
      <c r="N286" s="1062"/>
      <c r="O286" s="1062"/>
      <c r="P286" s="1062"/>
      <c r="Q286" s="1062"/>
      <c r="R286" s="1550"/>
      <c r="S286" s="1062"/>
      <c r="T286" s="1062"/>
      <c r="U286" s="468"/>
      <c r="V286" s="1062"/>
      <c r="W286" s="1062"/>
      <c r="X286" s="1062"/>
      <c r="Y286" s="1062"/>
      <c r="Z286" s="1062"/>
      <c r="AA286" s="1546"/>
      <c r="AB286" s="490"/>
      <c r="AC286" s="490"/>
      <c r="AD286" s="490"/>
      <c r="AE286" s="490"/>
    </row>
    <row r="287" spans="1:31" s="1907" customFormat="1" ht="11.25" customHeight="1">
      <c r="A287" s="897"/>
      <c r="B287" s="1550"/>
      <c r="C287" s="1550"/>
      <c r="D287" s="275"/>
      <c r="K287" s="1062"/>
      <c r="L287" s="1550"/>
      <c r="M287" s="1550"/>
      <c r="N287" s="1062"/>
      <c r="O287" s="1062"/>
      <c r="P287" s="1062"/>
      <c r="Q287" s="1062"/>
      <c r="R287" s="1550"/>
      <c r="S287" s="1062"/>
      <c r="T287" s="1062"/>
      <c r="U287" s="468"/>
      <c r="V287" s="1062"/>
      <c r="W287" s="1062"/>
      <c r="X287" s="1062"/>
      <c r="Y287" s="1062"/>
      <c r="Z287" s="1062"/>
      <c r="AA287" s="1546"/>
      <c r="AB287" s="490"/>
      <c r="AC287" s="490"/>
      <c r="AD287" s="490"/>
      <c r="AE287" s="490"/>
    </row>
    <row r="288" spans="1:31" s="1907" customFormat="1" ht="11.25" customHeight="1">
      <c r="A288" s="897"/>
      <c r="B288" s="1550"/>
      <c r="C288" s="1550"/>
      <c r="D288" s="275"/>
      <c r="K288" s="1062"/>
      <c r="L288" s="1550"/>
      <c r="M288" s="1550"/>
      <c r="N288" s="1062"/>
      <c r="O288" s="1062"/>
      <c r="P288" s="1062"/>
      <c r="Q288" s="1062"/>
      <c r="R288" s="1550"/>
      <c r="S288" s="1062"/>
      <c r="T288" s="1062"/>
      <c r="U288" s="468"/>
      <c r="V288" s="1062"/>
      <c r="W288" s="1062"/>
      <c r="X288" s="1062"/>
      <c r="Y288" s="1062"/>
      <c r="Z288" s="1062"/>
      <c r="AA288" s="1546"/>
      <c r="AB288" s="490"/>
      <c r="AC288" s="490"/>
      <c r="AD288" s="490"/>
      <c r="AE288" s="490"/>
    </row>
    <row r="292" spans="1:31" ht="11.25" customHeight="1">
      <c r="A292" s="900"/>
      <c r="B292" s="1545"/>
      <c r="D292" s="1545"/>
      <c r="K292" s="1545"/>
      <c r="N292" s="1545"/>
      <c r="O292" s="1545"/>
      <c r="P292" s="1545"/>
      <c r="Q292" s="1545"/>
      <c r="S292" s="1545"/>
      <c r="T292" s="1545"/>
      <c r="U292" s="1545"/>
      <c r="V292" s="1545"/>
      <c r="W292" s="1545"/>
      <c r="X292" s="1545"/>
      <c r="Y292" s="1545"/>
      <c r="Z292" s="1545"/>
      <c r="AA292" s="1545"/>
      <c r="AB292" s="1545"/>
      <c r="AC292" s="1545"/>
      <c r="AD292" s="1545"/>
      <c r="AE292" s="1545"/>
    </row>
    <row r="293" spans="1:31" ht="11.25" customHeight="1">
      <c r="A293" s="900"/>
      <c r="B293" s="1545"/>
      <c r="D293" s="1545"/>
      <c r="K293" s="1545"/>
      <c r="N293" s="1545"/>
      <c r="O293" s="1545"/>
      <c r="P293" s="1545"/>
      <c r="Q293" s="1545"/>
      <c r="S293" s="1545"/>
      <c r="T293" s="1545"/>
      <c r="U293" s="1545"/>
      <c r="V293" s="1545"/>
      <c r="W293" s="1545"/>
      <c r="X293" s="1545"/>
      <c r="Y293" s="1545"/>
      <c r="Z293" s="1545"/>
      <c r="AA293" s="1545"/>
      <c r="AB293" s="1545"/>
      <c r="AC293" s="1545"/>
      <c r="AD293" s="1545"/>
      <c r="AE293" s="1545"/>
    </row>
    <row r="294" spans="1:31" ht="11.25" customHeight="1">
      <c r="A294" s="900"/>
      <c r="B294" s="1545"/>
      <c r="D294" s="1545"/>
      <c r="K294" s="1545"/>
      <c r="N294" s="1545"/>
      <c r="O294" s="1545"/>
      <c r="P294" s="1545"/>
      <c r="Q294" s="1545"/>
      <c r="S294" s="1545"/>
      <c r="T294" s="1545"/>
      <c r="U294" s="1545"/>
      <c r="V294" s="1545"/>
      <c r="W294" s="1545"/>
      <c r="X294" s="1545"/>
      <c r="Y294" s="1545"/>
      <c r="Z294" s="1545"/>
      <c r="AA294" s="1545"/>
      <c r="AB294" s="1545"/>
      <c r="AC294" s="1545"/>
      <c r="AD294" s="1545"/>
      <c r="AE294" s="1545"/>
    </row>
    <row r="295" spans="1:31" ht="11.25" customHeight="1">
      <c r="A295" s="900"/>
      <c r="B295" s="1545"/>
      <c r="D295" s="1545"/>
      <c r="K295" s="1545"/>
      <c r="N295" s="1545"/>
      <c r="O295" s="1545"/>
      <c r="P295" s="1545"/>
      <c r="Q295" s="1545"/>
      <c r="S295" s="1545"/>
      <c r="T295" s="1545"/>
      <c r="U295" s="1545"/>
      <c r="V295" s="1545"/>
      <c r="W295" s="1545"/>
      <c r="X295" s="1545"/>
      <c r="Y295" s="1545"/>
      <c r="Z295" s="1545"/>
      <c r="AA295" s="1545"/>
      <c r="AB295" s="1545"/>
      <c r="AC295" s="1545"/>
      <c r="AD295" s="1545"/>
      <c r="AE295" s="1545"/>
    </row>
    <row r="296" spans="1:31" ht="11.25" customHeight="1">
      <c r="A296" s="900"/>
      <c r="B296" s="1545"/>
      <c r="D296" s="1545"/>
      <c r="K296" s="1545"/>
      <c r="N296" s="1545"/>
      <c r="O296" s="1545"/>
      <c r="P296" s="1545"/>
      <c r="Q296" s="1545"/>
      <c r="S296" s="1545"/>
      <c r="T296" s="1545"/>
      <c r="U296" s="1545"/>
      <c r="V296" s="1545"/>
      <c r="W296" s="1545"/>
      <c r="X296" s="1545"/>
      <c r="Y296" s="1545"/>
      <c r="Z296" s="1545"/>
      <c r="AA296" s="1545"/>
      <c r="AB296" s="1545"/>
      <c r="AC296" s="1545"/>
      <c r="AD296" s="1545"/>
      <c r="AE296" s="1545"/>
    </row>
    <row r="297" spans="1:31" ht="11.25" customHeight="1">
      <c r="A297" s="900"/>
      <c r="B297" s="1545"/>
      <c r="D297" s="1545"/>
      <c r="K297" s="1545"/>
      <c r="N297" s="1545"/>
      <c r="O297" s="1545"/>
      <c r="P297" s="1545"/>
      <c r="Q297" s="1545"/>
      <c r="S297" s="1545"/>
      <c r="T297" s="1545"/>
      <c r="U297" s="1545"/>
      <c r="V297" s="1545"/>
      <c r="W297" s="1545"/>
      <c r="X297" s="1545"/>
      <c r="Y297" s="1545"/>
      <c r="Z297" s="1545"/>
      <c r="AA297" s="1545"/>
      <c r="AB297" s="1545"/>
      <c r="AC297" s="1545"/>
      <c r="AD297" s="1545"/>
      <c r="AE297" s="1545"/>
    </row>
    <row r="298" spans="1:31" ht="11.25" customHeight="1">
      <c r="A298" s="900"/>
      <c r="B298" s="1545"/>
      <c r="D298" s="1545"/>
      <c r="K298" s="1545"/>
      <c r="N298" s="1545"/>
      <c r="O298" s="1545"/>
      <c r="P298" s="1545"/>
      <c r="Q298" s="1545"/>
      <c r="S298" s="1545"/>
      <c r="T298" s="1545"/>
      <c r="U298" s="1545"/>
      <c r="V298" s="1545"/>
      <c r="W298" s="1545"/>
      <c r="X298" s="1545"/>
      <c r="Y298" s="1545"/>
      <c r="Z298" s="1545"/>
      <c r="AA298" s="1545"/>
      <c r="AB298" s="1545"/>
      <c r="AC298" s="1545"/>
      <c r="AD298" s="1545"/>
      <c r="AE298" s="1545"/>
    </row>
    <row r="299" spans="1:31" ht="11.25" customHeight="1">
      <c r="A299" s="900"/>
      <c r="B299" s="1545"/>
      <c r="D299" s="1545"/>
      <c r="K299" s="1545"/>
      <c r="N299" s="1545"/>
      <c r="O299" s="1545"/>
      <c r="P299" s="1545"/>
      <c r="Q299" s="1545"/>
      <c r="S299" s="1545"/>
      <c r="T299" s="1545"/>
      <c r="U299" s="1545"/>
      <c r="V299" s="1545"/>
      <c r="W299" s="1545"/>
      <c r="X299" s="1545"/>
      <c r="Y299" s="1545"/>
      <c r="Z299" s="1545"/>
      <c r="AA299" s="1545"/>
      <c r="AB299" s="1545"/>
      <c r="AC299" s="1545"/>
      <c r="AD299" s="1545"/>
      <c r="AE299" s="1545"/>
    </row>
    <row r="300" spans="1:31" ht="11.25" customHeight="1">
      <c r="A300" s="900"/>
      <c r="B300" s="1545"/>
      <c r="D300" s="1545"/>
      <c r="K300" s="1545"/>
      <c r="N300" s="1545"/>
      <c r="O300" s="1545"/>
      <c r="P300" s="1545"/>
      <c r="Q300" s="1545"/>
      <c r="S300" s="1545"/>
      <c r="T300" s="1545"/>
      <c r="U300" s="1545"/>
      <c r="V300" s="1545"/>
      <c r="W300" s="1545"/>
      <c r="X300" s="1545"/>
      <c r="Y300" s="1545"/>
      <c r="Z300" s="1545"/>
      <c r="AA300" s="1545"/>
      <c r="AB300" s="1545"/>
      <c r="AC300" s="1545"/>
      <c r="AD300" s="1545"/>
      <c r="AE300" s="1545"/>
    </row>
    <row r="301" spans="1:31" ht="11.25" customHeight="1">
      <c r="A301" s="900"/>
      <c r="B301" s="1545"/>
      <c r="D301" s="1545"/>
      <c r="K301" s="1545"/>
      <c r="N301" s="1545"/>
      <c r="O301" s="1545"/>
      <c r="P301" s="1545"/>
      <c r="Q301" s="1545"/>
      <c r="S301" s="1545"/>
      <c r="T301" s="1545"/>
      <c r="U301" s="1545"/>
      <c r="V301" s="1545"/>
      <c r="W301" s="1545"/>
      <c r="X301" s="1545"/>
      <c r="Y301" s="1545"/>
      <c r="Z301" s="1545"/>
      <c r="AA301" s="1545"/>
      <c r="AB301" s="1545"/>
      <c r="AC301" s="1545"/>
      <c r="AD301" s="1545"/>
      <c r="AE301" s="1545"/>
    </row>
    <row r="302" spans="1:31" ht="11.25" customHeight="1">
      <c r="A302" s="900"/>
      <c r="B302" s="1545"/>
      <c r="D302" s="1545"/>
      <c r="K302" s="1545"/>
      <c r="N302" s="1545"/>
      <c r="O302" s="1545"/>
      <c r="P302" s="1545"/>
      <c r="Q302" s="1545"/>
      <c r="S302" s="1545"/>
      <c r="T302" s="1545"/>
      <c r="U302" s="1545"/>
      <c r="V302" s="1545"/>
      <c r="W302" s="1545"/>
      <c r="X302" s="1545"/>
      <c r="Y302" s="1545"/>
      <c r="Z302" s="1545"/>
      <c r="AA302" s="1545"/>
      <c r="AB302" s="1545"/>
      <c r="AC302" s="1545"/>
      <c r="AD302" s="1545"/>
      <c r="AE302" s="1545"/>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1">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E28"/>
  <sheetViews>
    <sheetView showGridLines="0" topLeftCell="C4" zoomScale="90" workbookViewId="0"/>
  </sheetViews>
  <sheetFormatPr defaultColWidth="9.140625" defaultRowHeight="11.25" customHeight="1"/>
  <cols>
    <col min="1" max="1" width="14.7109375" style="1912" hidden="1" customWidth="1"/>
    <col min="2" max="2" width="17" style="1871" hidden="1" customWidth="1"/>
    <col min="3" max="3" width="3.7109375" style="1873" customWidth="1"/>
    <col min="4" max="4" width="1.85546875" style="1873" hidden="1" customWidth="1"/>
    <col min="5" max="6" width="7.7109375" style="1873" customWidth="1"/>
    <col min="7" max="7" width="29.7109375" style="1873" customWidth="1"/>
    <col min="8" max="8" width="3.7109375" style="1873" customWidth="1"/>
    <col min="9" max="9" width="5.42578125" style="1873" customWidth="1"/>
    <col min="10" max="10" width="24.5703125" style="1873" customWidth="1"/>
    <col min="11" max="11" width="24.42578125" style="1873" customWidth="1"/>
    <col min="12" max="12" width="3.7109375" style="1873" customWidth="1"/>
    <col min="13" max="13" width="6.28515625" style="1873" customWidth="1"/>
    <col min="14" max="14" width="25.85546875" style="1873" customWidth="1"/>
    <col min="15" max="18" width="18.7109375" style="1873" customWidth="1"/>
    <col min="19" max="19" width="93.42578125" style="1873" customWidth="1"/>
    <col min="20" max="20" width="10.5703125" style="1873" customWidth="1"/>
    <col min="21" max="21" width="10.5703125" style="1913" customWidth="1"/>
    <col min="22" max="22" width="11.7109375" style="1913" customWidth="1"/>
    <col min="23" max="23" width="10.5703125" style="1914" customWidth="1"/>
    <col min="24" max="27" width="10.5703125" style="1871" customWidth="1"/>
    <col min="28" max="83" width="9.140625" style="1873"/>
  </cols>
  <sheetData>
    <row r="1" spans="1:83" ht="11.25" hidden="1" customHeight="1"/>
    <row r="2" spans="1:83" ht="11.25" hidden="1" customHeight="1"/>
    <row r="3" spans="1:83" ht="11.25" hidden="1" customHeight="1"/>
    <row r="4" spans="1:83" ht="3" customHeight="1">
      <c r="C4" s="434"/>
      <c r="D4" s="434"/>
      <c r="E4" s="434"/>
      <c r="F4" s="434"/>
      <c r="G4" s="434"/>
      <c r="H4" s="434"/>
      <c r="I4" s="434"/>
      <c r="J4" s="434"/>
      <c r="K4" s="87"/>
      <c r="L4" s="87"/>
      <c r="M4" s="87"/>
    </row>
    <row r="5" spans="1:83" ht="28.5" customHeight="1">
      <c r="C5" s="434"/>
      <c r="D5" s="966"/>
      <c r="E5" s="212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27"/>
      <c r="G5" s="2127"/>
      <c r="H5" s="2127"/>
      <c r="I5" s="2127"/>
      <c r="J5" s="2127"/>
      <c r="K5" s="2127"/>
      <c r="L5" s="533"/>
      <c r="M5" s="533"/>
    </row>
    <row r="6" spans="1:83" s="1814" customFormat="1" ht="16.5" customHeight="1">
      <c r="A6" s="530"/>
      <c r="B6" s="677"/>
      <c r="C6" s="434"/>
      <c r="D6" s="967"/>
      <c r="E6" s="2098" t="str">
        <f>IF(org=0,"Не определено",org)</f>
        <v>ООО "Горводоканал"</v>
      </c>
      <c r="F6" s="2098"/>
      <c r="G6" s="2098"/>
      <c r="H6" s="2098"/>
      <c r="I6" s="2098"/>
      <c r="J6" s="2098"/>
      <c r="K6" s="2098"/>
      <c r="L6" s="533"/>
      <c r="M6" s="533"/>
      <c r="U6" s="531"/>
      <c r="V6" s="531"/>
      <c r="W6" s="532"/>
      <c r="X6" s="677"/>
      <c r="Y6" s="677"/>
      <c r="Z6" s="677"/>
      <c r="AA6" s="677"/>
    </row>
    <row r="7" spans="1:83" ht="11.25" customHeight="1">
      <c r="C7" s="434"/>
      <c r="D7" s="434"/>
      <c r="E7" s="434"/>
      <c r="F7" s="434"/>
      <c r="G7" s="447"/>
      <c r="H7" s="447"/>
      <c r="I7" s="447"/>
      <c r="J7" s="447"/>
      <c r="K7" s="534"/>
      <c r="L7" s="534"/>
      <c r="M7" s="534"/>
      <c r="R7" s="670"/>
    </row>
    <row r="8" spans="1:83" s="1810" customFormat="1" ht="5.25" customHeight="1">
      <c r="A8" s="541"/>
      <c r="B8" s="490"/>
      <c r="C8" s="275"/>
      <c r="D8" s="275"/>
      <c r="E8" s="275"/>
      <c r="F8" s="275"/>
      <c r="G8" s="886"/>
      <c r="H8" s="886"/>
      <c r="I8" s="886"/>
      <c r="J8" s="886"/>
      <c r="K8" s="927"/>
      <c r="L8" s="927"/>
      <c r="M8" s="927"/>
      <c r="R8" s="928"/>
      <c r="U8" s="531"/>
      <c r="V8" s="531"/>
      <c r="W8" s="542"/>
      <c r="X8" s="490"/>
      <c r="Y8" s="490"/>
      <c r="Z8" s="490"/>
      <c r="AA8" s="490"/>
    </row>
    <row r="9" spans="1:83" ht="18.75" customHeight="1">
      <c r="D9" s="206"/>
      <c r="E9" s="2001" t="s">
        <v>268</v>
      </c>
      <c r="F9" s="2006"/>
      <c r="G9" s="2006"/>
      <c r="H9" s="2006"/>
      <c r="I9" s="2006"/>
      <c r="J9" s="2006"/>
      <c r="K9" s="2006"/>
      <c r="L9" s="2006"/>
      <c r="M9" s="2006"/>
      <c r="N9" s="2006"/>
      <c r="O9" s="2006"/>
      <c r="P9" s="2006"/>
      <c r="Q9" s="2006"/>
      <c r="R9" s="2000"/>
      <c r="S9" s="2019" t="s">
        <v>269</v>
      </c>
      <c r="T9" s="259"/>
    </row>
    <row r="10" spans="1:83" ht="33.75" customHeight="1">
      <c r="D10" s="475" t="s">
        <v>73</v>
      </c>
      <c r="E10" s="2019" t="s">
        <v>73</v>
      </c>
      <c r="F10" s="2019"/>
      <c r="G10" s="446" t="s">
        <v>270</v>
      </c>
      <c r="H10" s="2019" t="s">
        <v>73</v>
      </c>
      <c r="I10" s="2019"/>
      <c r="J10" s="446" t="s">
        <v>564</v>
      </c>
      <c r="K10" s="446" t="s">
        <v>565</v>
      </c>
      <c r="L10" s="2019" t="s">
        <v>73</v>
      </c>
      <c r="M10" s="2019"/>
      <c r="N10" s="446" t="s">
        <v>566</v>
      </c>
      <c r="O10" s="446" t="s">
        <v>567</v>
      </c>
      <c r="P10" s="446" t="s">
        <v>568</v>
      </c>
      <c r="Q10" s="446" t="s">
        <v>569</v>
      </c>
      <c r="R10" s="446" t="s">
        <v>570</v>
      </c>
      <c r="S10" s="2019"/>
      <c r="T10" s="259"/>
    </row>
    <row r="11" spans="1:83" s="1811" customFormat="1" ht="15" hidden="1" customHeight="1">
      <c r="A11" s="961"/>
      <c r="D11" s="934" t="s">
        <v>91</v>
      </c>
      <c r="E11" s="934"/>
      <c r="F11" s="934" t="s">
        <v>92</v>
      </c>
      <c r="G11" s="934" t="s">
        <v>75</v>
      </c>
      <c r="H11" s="934"/>
      <c r="I11" s="934" t="s">
        <v>76</v>
      </c>
      <c r="J11" s="934" t="s">
        <v>93</v>
      </c>
      <c r="K11" s="934" t="s">
        <v>77</v>
      </c>
      <c r="L11" s="934"/>
      <c r="M11" s="934" t="s">
        <v>78</v>
      </c>
      <c r="N11" s="934" t="s">
        <v>94</v>
      </c>
      <c r="O11" s="934" t="s">
        <v>130</v>
      </c>
      <c r="P11" s="934" t="s">
        <v>131</v>
      </c>
      <c r="Q11" s="934" t="s">
        <v>132</v>
      </c>
      <c r="R11" s="934" t="s">
        <v>133</v>
      </c>
      <c r="S11" s="934" t="s">
        <v>134</v>
      </c>
      <c r="U11" s="531"/>
      <c r="V11" s="531"/>
      <c r="W11" s="531"/>
    </row>
    <row r="12" spans="1:83" s="1816" customFormat="1" ht="0.75" customHeight="1">
      <c r="A12" s="535"/>
      <c r="B12" s="288"/>
      <c r="D12" s="472"/>
      <c r="E12" s="270"/>
      <c r="F12" s="270"/>
      <c r="Q12" s="536"/>
      <c r="R12" s="537"/>
      <c r="T12" s="538"/>
      <c r="U12" s="539"/>
      <c r="V12" s="539"/>
      <c r="W12" s="540"/>
      <c r="X12" s="288"/>
      <c r="Y12" s="288"/>
      <c r="Z12" s="288"/>
      <c r="AA12" s="288"/>
    </row>
    <row r="13" spans="1:83" s="1810" customFormat="1" ht="0.75" customHeight="1">
      <c r="A13" s="541"/>
      <c r="B13" s="490"/>
      <c r="D13" s="472" t="s">
        <v>346</v>
      </c>
      <c r="E13" s="484"/>
      <c r="F13" s="484"/>
      <c r="G13" s="484"/>
      <c r="H13" s="484"/>
      <c r="I13" s="484"/>
      <c r="J13" s="484"/>
      <c r="K13" s="484"/>
      <c r="L13" s="484"/>
      <c r="M13" s="484"/>
      <c r="N13" s="484"/>
      <c r="O13" s="484"/>
      <c r="P13" s="484"/>
      <c r="Q13" s="484"/>
      <c r="R13" s="484"/>
      <c r="T13" s="259"/>
      <c r="U13" s="531"/>
      <c r="V13" s="531"/>
      <c r="W13" s="542"/>
      <c r="X13" s="490"/>
      <c r="Y13" s="490"/>
      <c r="Z13" s="490"/>
      <c r="AA13" s="490"/>
    </row>
    <row r="14" spans="1:83" s="1833" customFormat="1" ht="15" hidden="1" customHeight="1">
      <c r="A14" s="543" t="s">
        <v>99</v>
      </c>
      <c r="B14" s="544"/>
      <c r="C14" s="544"/>
      <c r="D14" s="2228" t="s">
        <v>91</v>
      </c>
      <c r="E14" s="2235" t="s">
        <v>87</v>
      </c>
      <c r="F14" s="2236"/>
      <c r="G14" s="2237"/>
      <c r="H14" s="2231">
        <f>IF(A14="","",INDEX(DIFFERENTIATION_UNMERGE_VD,MATCH(A14,DIFFERENTIATION_ID_DIFF,0)))</f>
        <v>0</v>
      </c>
      <c r="I14" s="2231"/>
      <c r="J14" s="2231"/>
      <c r="K14" s="2231"/>
      <c r="L14" s="2231"/>
      <c r="M14" s="2231"/>
      <c r="N14" s="2231"/>
      <c r="O14" s="2231"/>
      <c r="P14" s="2231"/>
      <c r="Q14" s="2231"/>
      <c r="R14" s="2231"/>
      <c r="S14" s="637"/>
      <c r="T14" s="634"/>
      <c r="U14" s="545"/>
      <c r="V14" s="545"/>
      <c r="W14" s="546"/>
      <c r="X14" s="546"/>
      <c r="Y14" s="546"/>
      <c r="Z14" s="546"/>
      <c r="AA14" s="547"/>
      <c r="AB14" s="548"/>
      <c r="AC14" s="2234"/>
      <c r="AD14" s="549"/>
      <c r="AE14" s="550" t="s">
        <v>18</v>
      </c>
      <c r="AF14" s="550"/>
      <c r="AG14" s="551" t="s">
        <v>571</v>
      </c>
      <c r="AH14" s="552">
        <v>3</v>
      </c>
      <c r="AI14" s="545"/>
      <c r="AJ14" s="545"/>
      <c r="AK14" s="545"/>
      <c r="AL14" s="545"/>
      <c r="AM14" s="545"/>
      <c r="AN14" s="545"/>
      <c r="AO14" s="545"/>
      <c r="AP14" s="545"/>
      <c r="AQ14" s="545"/>
      <c r="AR14" s="545"/>
      <c r="AS14" s="545"/>
      <c r="AT14" s="545"/>
      <c r="AU14" s="545"/>
      <c r="AV14" s="545"/>
      <c r="AW14" s="545"/>
      <c r="AX14" s="545"/>
      <c r="AY14" s="545"/>
      <c r="AZ14" s="545"/>
      <c r="BA14" s="545"/>
      <c r="BB14" s="545"/>
      <c r="BC14" s="545"/>
      <c r="BD14" s="545"/>
      <c r="BE14" s="545"/>
      <c r="BF14" s="545"/>
      <c r="BG14" s="545"/>
      <c r="BH14" s="545"/>
      <c r="BI14" s="545"/>
      <c r="BJ14" s="545"/>
      <c r="BK14" s="545"/>
      <c r="BL14" s="545"/>
      <c r="BM14" s="545"/>
      <c r="BN14" s="545"/>
      <c r="BO14" s="545"/>
      <c r="BP14" s="545"/>
      <c r="BQ14" s="545"/>
      <c r="BR14" s="545"/>
      <c r="BS14" s="545"/>
      <c r="BT14" s="545"/>
      <c r="BU14" s="545"/>
      <c r="BV14" s="546"/>
      <c r="BW14" s="546"/>
      <c r="BX14" s="546"/>
      <c r="BY14" s="546"/>
      <c r="BZ14" s="546"/>
      <c r="CA14" s="546"/>
      <c r="CB14" s="546"/>
      <c r="CC14" s="546"/>
      <c r="CD14" s="546"/>
      <c r="CE14" s="546"/>
    </row>
    <row r="15" spans="1:83" s="1833" customFormat="1" ht="15" hidden="1" customHeight="1">
      <c r="A15" s="543"/>
      <c r="B15" s="544"/>
      <c r="C15" s="544"/>
      <c r="D15" s="2229"/>
      <c r="E15" s="2235" t="s">
        <v>526</v>
      </c>
      <c r="F15" s="2236"/>
      <c r="G15" s="2237"/>
      <c r="H15" s="2231" t="str">
        <f>IF(A14="","",INDEX(DIFFERENTIATION_UNMERGE_AREA,MATCH(A14,DIFFERENTIATION_ID_DIFF,0)))</f>
        <v/>
      </c>
      <c r="I15" s="2231"/>
      <c r="J15" s="2231"/>
      <c r="K15" s="2231"/>
      <c r="L15" s="2231"/>
      <c r="M15" s="2231"/>
      <c r="N15" s="2231"/>
      <c r="O15" s="2231"/>
      <c r="P15" s="2231"/>
      <c r="Q15" s="2231"/>
      <c r="R15" s="2231"/>
      <c r="S15" s="637"/>
      <c r="T15" s="634"/>
      <c r="U15" s="545"/>
      <c r="V15" s="545"/>
      <c r="W15" s="546"/>
      <c r="X15" s="546"/>
      <c r="Y15" s="546"/>
      <c r="Z15" s="546"/>
      <c r="AA15" s="547"/>
      <c r="AB15" s="548"/>
      <c r="AC15" s="2234"/>
      <c r="AD15" s="549"/>
      <c r="AE15" s="550"/>
      <c r="AF15" s="550"/>
      <c r="AG15" s="551"/>
      <c r="AH15" s="552"/>
      <c r="AI15" s="545"/>
      <c r="AJ15" s="545"/>
      <c r="AK15" s="545"/>
      <c r="AL15" s="545"/>
      <c r="AM15" s="545"/>
      <c r="AN15" s="545"/>
      <c r="AO15" s="545"/>
      <c r="AP15" s="545"/>
      <c r="AQ15" s="545"/>
      <c r="AR15" s="545"/>
      <c r="AS15" s="545"/>
      <c r="AT15" s="545"/>
      <c r="AU15" s="545"/>
      <c r="AV15" s="545"/>
      <c r="AW15" s="545"/>
      <c r="AX15" s="545"/>
      <c r="AY15" s="545"/>
      <c r="AZ15" s="545"/>
      <c r="BA15" s="545"/>
      <c r="BB15" s="545"/>
      <c r="BC15" s="545"/>
      <c r="BD15" s="545"/>
      <c r="BE15" s="545"/>
      <c r="BF15" s="545"/>
      <c r="BG15" s="545"/>
      <c r="BH15" s="545"/>
      <c r="BI15" s="545"/>
      <c r="BJ15" s="545"/>
      <c r="BK15" s="545"/>
      <c r="BL15" s="545"/>
      <c r="BM15" s="545"/>
      <c r="BN15" s="545"/>
      <c r="BO15" s="545"/>
      <c r="BP15" s="545"/>
      <c r="BQ15" s="545"/>
      <c r="BR15" s="545"/>
      <c r="BS15" s="545"/>
      <c r="BT15" s="545"/>
      <c r="BU15" s="545"/>
      <c r="BV15" s="546"/>
      <c r="BW15" s="546"/>
      <c r="BX15" s="546"/>
      <c r="BY15" s="546"/>
      <c r="BZ15" s="546"/>
      <c r="CA15" s="546"/>
      <c r="CB15" s="546"/>
      <c r="CC15" s="546"/>
      <c r="CD15" s="546"/>
      <c r="CE15" s="546"/>
    </row>
    <row r="16" spans="1:83" s="1833" customFormat="1" ht="15" hidden="1" customHeight="1">
      <c r="A16" s="543"/>
      <c r="B16" s="544"/>
      <c r="C16" s="544"/>
      <c r="D16" s="2229"/>
      <c r="E16" s="2235" t="s">
        <v>527</v>
      </c>
      <c r="F16" s="2236"/>
      <c r="G16" s="2237"/>
      <c r="H16" s="2231" t="str">
        <f>IF(A14="","",INDEX(DIFFERENTIATION_UNMERGE_SYSTEM,MATCH(A14,DIFFERENTIATION_ID_DIFF,0)))</f>
        <v>без дифференциации</v>
      </c>
      <c r="I16" s="2231"/>
      <c r="J16" s="2231"/>
      <c r="K16" s="2231"/>
      <c r="L16" s="2231"/>
      <c r="M16" s="2231"/>
      <c r="N16" s="2231"/>
      <c r="O16" s="2231"/>
      <c r="P16" s="2231"/>
      <c r="Q16" s="2231"/>
      <c r="R16" s="2231"/>
      <c r="S16" s="637"/>
      <c r="T16" s="634"/>
      <c r="U16" s="545"/>
      <c r="V16" s="545"/>
      <c r="W16" s="546"/>
      <c r="X16" s="546"/>
      <c r="Y16" s="546"/>
      <c r="Z16" s="546"/>
      <c r="AA16" s="547"/>
      <c r="AB16" s="548"/>
      <c r="AC16" s="2234"/>
      <c r="AD16" s="549"/>
      <c r="AE16" s="550"/>
      <c r="AF16" s="550"/>
      <c r="AG16" s="551"/>
      <c r="AH16" s="552"/>
      <c r="AI16" s="545"/>
      <c r="AJ16" s="545"/>
      <c r="AK16" s="545"/>
      <c r="AL16" s="545"/>
      <c r="AM16" s="545"/>
      <c r="AN16" s="545"/>
      <c r="AO16" s="545"/>
      <c r="AP16" s="545"/>
      <c r="AQ16" s="545"/>
      <c r="AR16" s="545"/>
      <c r="AS16" s="545"/>
      <c r="AT16" s="545"/>
      <c r="AU16" s="545"/>
      <c r="AV16" s="545"/>
      <c r="AW16" s="545"/>
      <c r="AX16" s="545"/>
      <c r="AY16" s="545"/>
      <c r="AZ16" s="545"/>
      <c r="BA16" s="545"/>
      <c r="BB16" s="545"/>
      <c r="BC16" s="545"/>
      <c r="BD16" s="545"/>
      <c r="BE16" s="545"/>
      <c r="BF16" s="545"/>
      <c r="BG16" s="545"/>
      <c r="BH16" s="545"/>
      <c r="BI16" s="545"/>
      <c r="BJ16" s="545"/>
      <c r="BK16" s="545"/>
      <c r="BL16" s="545"/>
      <c r="BM16" s="545"/>
      <c r="BN16" s="545"/>
      <c r="BO16" s="545"/>
      <c r="BP16" s="545"/>
      <c r="BQ16" s="545"/>
      <c r="BR16" s="545"/>
      <c r="BS16" s="545"/>
      <c r="BT16" s="545"/>
      <c r="BU16" s="545"/>
      <c r="BV16" s="546"/>
      <c r="BW16" s="546"/>
      <c r="BX16" s="546"/>
      <c r="BY16" s="546"/>
      <c r="BZ16" s="546"/>
      <c r="CA16" s="546"/>
      <c r="CB16" s="546"/>
      <c r="CC16" s="546"/>
      <c r="CD16" s="546"/>
      <c r="CE16" s="546"/>
    </row>
    <row r="17" spans="1:83" s="1833" customFormat="1" ht="22.5" hidden="1" customHeight="1">
      <c r="A17" s="553"/>
      <c r="B17" s="350"/>
      <c r="C17" s="345"/>
      <c r="D17" s="2229"/>
      <c r="E17" s="2233" t="s">
        <v>572</v>
      </c>
      <c r="F17" s="2233"/>
      <c r="G17" s="2233"/>
      <c r="H17" s="2233"/>
      <c r="I17" s="2233"/>
      <c r="J17" s="2233"/>
      <c r="K17" s="2233"/>
      <c r="L17" s="2233"/>
      <c r="M17" s="2233"/>
      <c r="N17" s="2233"/>
      <c r="O17" s="2233"/>
      <c r="P17" s="2233"/>
      <c r="Q17" s="482">
        <f>SUMIF(T18:T19,"i",Q18:Q19)</f>
        <v>0</v>
      </c>
      <c r="R17" s="926"/>
      <c r="S17" s="812" t="s">
        <v>573</v>
      </c>
      <c r="T17" s="635" t="s">
        <v>574</v>
      </c>
      <c r="U17" s="2150">
        <v>1</v>
      </c>
      <c r="V17" s="2150" t="str">
        <f>INDEX(B_FHD_FLAG_INDEX_1,1,MATCH(A14,B_FHD_FLAG_DIFFERENTIATION,0))</f>
        <v>отсутствует</v>
      </c>
      <c r="W17" s="350"/>
      <c r="X17" s="350"/>
      <c r="Y17" s="350"/>
      <c r="Z17" s="350"/>
      <c r="AA17" s="436"/>
      <c r="AB17" s="350"/>
      <c r="AC17" s="2234"/>
      <c r="AD17" s="549"/>
      <c r="AE17" s="350"/>
      <c r="AF17" s="350"/>
      <c r="AG17" s="436"/>
      <c r="AH17" s="436"/>
      <c r="AI17" s="436"/>
      <c r="AJ17" s="436"/>
      <c r="AK17" s="436"/>
      <c r="AL17" s="436"/>
      <c r="AM17" s="436"/>
      <c r="AN17" s="436"/>
      <c r="AO17" s="436"/>
      <c r="AP17" s="436"/>
      <c r="AQ17" s="436"/>
      <c r="AR17" s="436"/>
      <c r="AS17" s="436"/>
      <c r="AT17" s="436"/>
      <c r="AU17" s="436"/>
      <c r="AV17" s="436"/>
      <c r="AW17" s="436"/>
      <c r="AX17" s="436"/>
      <c r="AY17" s="436"/>
      <c r="AZ17" s="436"/>
      <c r="BA17" s="436"/>
      <c r="BB17" s="436"/>
      <c r="BC17" s="436"/>
      <c r="BD17" s="436"/>
      <c r="BE17" s="436"/>
      <c r="BF17" s="436"/>
      <c r="BG17" s="436"/>
      <c r="BH17" s="436"/>
      <c r="BI17" s="436"/>
      <c r="BJ17" s="436"/>
      <c r="BK17" s="436"/>
      <c r="BL17" s="436"/>
      <c r="BM17" s="436"/>
      <c r="BN17" s="436"/>
      <c r="BO17" s="436"/>
      <c r="BP17" s="436"/>
      <c r="BQ17" s="436"/>
      <c r="BR17" s="436"/>
      <c r="BS17" s="436"/>
      <c r="BT17" s="436"/>
      <c r="BU17" s="436"/>
      <c r="BV17" s="350"/>
      <c r="BW17" s="350"/>
      <c r="BX17" s="350"/>
      <c r="BY17" s="350"/>
      <c r="BZ17" s="350"/>
      <c r="CA17" s="350"/>
      <c r="CB17" s="350"/>
      <c r="CC17" s="350"/>
      <c r="CD17" s="350"/>
      <c r="CE17" s="350"/>
    </row>
    <row r="18" spans="1:83" s="1833" customFormat="1" ht="11.25" hidden="1" customHeight="1">
      <c r="A18" s="554"/>
      <c r="B18" s="436"/>
      <c r="C18" s="436"/>
      <c r="D18" s="2229"/>
      <c r="E18" s="555"/>
      <c r="F18" s="555">
        <v>0</v>
      </c>
      <c r="G18" s="555"/>
      <c r="H18" s="555"/>
      <c r="I18" s="555"/>
      <c r="J18" s="555"/>
      <c r="K18" s="555"/>
      <c r="L18" s="555"/>
      <c r="M18" s="555"/>
      <c r="N18" s="555"/>
      <c r="O18" s="555"/>
      <c r="P18" s="555"/>
      <c r="Q18" s="555"/>
      <c r="R18" s="555"/>
      <c r="S18" s="556"/>
      <c r="T18" s="636"/>
      <c r="U18" s="2150"/>
      <c r="V18" s="2150"/>
      <c r="W18" s="436"/>
      <c r="X18" s="436"/>
      <c r="Y18" s="436"/>
      <c r="Z18" s="436"/>
      <c r="AA18" s="436"/>
      <c r="AB18" s="350"/>
      <c r="AC18" s="2234"/>
      <c r="AD18" s="549"/>
      <c r="AE18" s="350"/>
      <c r="AF18" s="350"/>
      <c r="AG18" s="436"/>
      <c r="AH18" s="436"/>
      <c r="AI18" s="436"/>
      <c r="AJ18" s="436"/>
      <c r="AK18" s="436"/>
      <c r="AL18" s="436"/>
      <c r="AM18" s="436"/>
      <c r="AN18" s="436"/>
      <c r="AO18" s="436"/>
      <c r="AP18" s="436"/>
      <c r="AQ18" s="436"/>
      <c r="AR18" s="436"/>
      <c r="AS18" s="436"/>
      <c r="AT18" s="436"/>
      <c r="AU18" s="436"/>
      <c r="AV18" s="436"/>
      <c r="AW18" s="436"/>
      <c r="AX18" s="436"/>
      <c r="AY18" s="436"/>
      <c r="AZ18" s="436"/>
      <c r="BA18" s="436"/>
      <c r="BB18" s="436"/>
      <c r="BC18" s="436"/>
      <c r="BD18" s="436"/>
      <c r="BE18" s="436"/>
      <c r="BF18" s="436"/>
      <c r="BG18" s="436"/>
      <c r="BH18" s="436"/>
      <c r="BI18" s="436"/>
      <c r="BJ18" s="436"/>
      <c r="BK18" s="436"/>
      <c r="BL18" s="436"/>
      <c r="BM18" s="436"/>
      <c r="BN18" s="436"/>
      <c r="BO18" s="436"/>
      <c r="BP18" s="436"/>
      <c r="BQ18" s="436"/>
      <c r="BR18" s="436"/>
      <c r="BS18" s="436"/>
      <c r="BT18" s="436"/>
      <c r="BU18" s="436"/>
      <c r="BV18" s="436"/>
      <c r="BW18" s="436"/>
      <c r="BX18" s="436"/>
      <c r="BY18" s="436"/>
      <c r="BZ18" s="436"/>
      <c r="CA18" s="436"/>
      <c r="CB18" s="436"/>
      <c r="CC18" s="436"/>
      <c r="CD18" s="436"/>
      <c r="CE18" s="436"/>
    </row>
    <row r="19" spans="1:83" s="1833" customFormat="1" ht="11.25" hidden="1" customHeight="1">
      <c r="A19" s="553"/>
      <c r="B19" s="350"/>
      <c r="C19" s="345"/>
      <c r="D19" s="2229"/>
      <c r="E19" s="569" t="s">
        <v>18</v>
      </c>
      <c r="F19" s="570" t="s">
        <v>18</v>
      </c>
      <c r="G19" s="570" t="s">
        <v>18</v>
      </c>
      <c r="H19" s="571" t="s">
        <v>18</v>
      </c>
      <c r="I19" s="571"/>
      <c r="J19" s="571"/>
      <c r="K19" s="571"/>
      <c r="L19" s="571"/>
      <c r="M19" s="571"/>
      <c r="N19" s="571"/>
      <c r="O19" s="571"/>
      <c r="P19" s="571"/>
      <c r="Q19" s="571"/>
      <c r="R19" s="572"/>
      <c r="S19" s="929"/>
      <c r="T19" s="636"/>
      <c r="U19" s="2150"/>
      <c r="V19" s="2150"/>
      <c r="W19" s="350"/>
      <c r="X19" s="350"/>
      <c r="Y19" s="350"/>
      <c r="Z19" s="350"/>
      <c r="AA19" s="436"/>
      <c r="AB19" s="350"/>
      <c r="AC19" s="2234"/>
      <c r="AD19" s="549"/>
      <c r="AE19" s="350"/>
      <c r="AF19" s="350"/>
      <c r="AG19" s="436"/>
      <c r="AH19" s="436"/>
      <c r="AI19" s="436"/>
      <c r="AJ19" s="436"/>
      <c r="AK19" s="436"/>
      <c r="AL19" s="436"/>
      <c r="AM19" s="436"/>
      <c r="AN19" s="436"/>
      <c r="AO19" s="436"/>
      <c r="AP19" s="436"/>
      <c r="AQ19" s="436"/>
      <c r="AR19" s="436"/>
      <c r="AS19" s="436"/>
      <c r="AT19" s="436"/>
      <c r="AU19" s="436"/>
      <c r="AV19" s="436"/>
      <c r="AW19" s="436"/>
      <c r="AX19" s="436"/>
      <c r="AY19" s="436"/>
      <c r="AZ19" s="436"/>
      <c r="BA19" s="436"/>
      <c r="BB19" s="436"/>
      <c r="BC19" s="436"/>
      <c r="BD19" s="436"/>
      <c r="BE19" s="436"/>
      <c r="BF19" s="436"/>
      <c r="BG19" s="436"/>
      <c r="BH19" s="436"/>
      <c r="BI19" s="436"/>
      <c r="BJ19" s="436"/>
      <c r="BK19" s="436"/>
      <c r="BL19" s="436"/>
      <c r="BM19" s="436"/>
      <c r="BN19" s="436"/>
      <c r="BO19" s="436"/>
      <c r="BP19" s="436"/>
      <c r="BQ19" s="436"/>
      <c r="BR19" s="436"/>
      <c r="BS19" s="436"/>
      <c r="BT19" s="436"/>
      <c r="BU19" s="436"/>
      <c r="BV19" s="350"/>
      <c r="BW19" s="350"/>
      <c r="BX19" s="350"/>
      <c r="BY19" s="350"/>
      <c r="BZ19" s="350"/>
      <c r="CA19" s="350"/>
      <c r="CB19" s="350"/>
      <c r="CC19" s="350"/>
      <c r="CD19" s="350"/>
      <c r="CE19" s="350"/>
    </row>
    <row r="20" spans="1:83" s="1833" customFormat="1" ht="22.5" hidden="1" customHeight="1">
      <c r="A20" s="553"/>
      <c r="B20" s="350"/>
      <c r="C20" s="345"/>
      <c r="D20" s="2229"/>
      <c r="E20" s="2233" t="s">
        <v>575</v>
      </c>
      <c r="F20" s="2233"/>
      <c r="G20" s="2233"/>
      <c r="H20" s="2233"/>
      <c r="I20" s="2233"/>
      <c r="J20" s="2233"/>
      <c r="K20" s="2233"/>
      <c r="L20" s="2233"/>
      <c r="M20" s="2233"/>
      <c r="N20" s="2233"/>
      <c r="O20" s="2233"/>
      <c r="P20" s="2233"/>
      <c r="Q20" s="482">
        <f>SUMIF(T21:T22,"i",Q21:Q22)</f>
        <v>0</v>
      </c>
      <c r="R20" s="926"/>
      <c r="S20" s="627" t="s">
        <v>576</v>
      </c>
      <c r="T20" s="635" t="s">
        <v>574</v>
      </c>
      <c r="U20" s="2150">
        <v>2</v>
      </c>
      <c r="V20" s="2150" t="str">
        <f>INDEX(B_FHD_FLAG_INDEX_2,1,MATCH(A14,B_FHD_FLAG_DIFFERENTIATION,0))</f>
        <v>отсутствует</v>
      </c>
      <c r="W20" s="350"/>
      <c r="X20" s="350"/>
      <c r="Y20" s="350"/>
      <c r="Z20" s="350"/>
      <c r="AA20" s="436"/>
      <c r="AB20" s="350"/>
      <c r="AC20" s="624"/>
      <c r="AD20" s="549"/>
      <c r="AE20" s="350"/>
      <c r="AF20" s="350"/>
      <c r="AG20" s="436"/>
      <c r="AH20" s="436"/>
      <c r="AI20" s="436"/>
      <c r="AJ20" s="436"/>
      <c r="AK20" s="436"/>
      <c r="AL20" s="436"/>
      <c r="AM20" s="436"/>
      <c r="AN20" s="436"/>
      <c r="AO20" s="436"/>
      <c r="AP20" s="436"/>
      <c r="AQ20" s="436"/>
      <c r="AR20" s="436"/>
      <c r="AS20" s="436"/>
      <c r="AT20" s="436"/>
      <c r="AU20" s="436"/>
      <c r="AV20" s="436"/>
      <c r="AW20" s="436"/>
      <c r="AX20" s="436"/>
      <c r="AY20" s="436"/>
      <c r="AZ20" s="436"/>
      <c r="BA20" s="436"/>
      <c r="BB20" s="436"/>
      <c r="BC20" s="436"/>
      <c r="BD20" s="436"/>
      <c r="BE20" s="436"/>
      <c r="BF20" s="436"/>
      <c r="BG20" s="436"/>
      <c r="BH20" s="436"/>
      <c r="BI20" s="436"/>
      <c r="BJ20" s="436"/>
      <c r="BK20" s="436"/>
      <c r="BL20" s="436"/>
      <c r="BM20" s="436"/>
      <c r="BN20" s="436"/>
      <c r="BO20" s="436"/>
      <c r="BP20" s="436"/>
      <c r="BQ20" s="436"/>
      <c r="BR20" s="436"/>
      <c r="BS20" s="436"/>
      <c r="BT20" s="436"/>
      <c r="BU20" s="436"/>
      <c r="BV20" s="350"/>
      <c r="BW20" s="350"/>
      <c r="BX20" s="350"/>
      <c r="BY20" s="350"/>
      <c r="BZ20" s="350"/>
      <c r="CA20" s="350"/>
      <c r="CB20" s="350"/>
      <c r="CC20" s="350"/>
      <c r="CD20" s="350"/>
      <c r="CE20" s="350"/>
    </row>
    <row r="21" spans="1:83" s="1833" customFormat="1" ht="11.25" hidden="1" customHeight="1">
      <c r="A21" s="626"/>
      <c r="B21" s="436"/>
      <c r="C21" s="436"/>
      <c r="D21" s="2229"/>
      <c r="E21" s="555"/>
      <c r="F21" s="555">
        <v>0</v>
      </c>
      <c r="G21" s="555"/>
      <c r="H21" s="555"/>
      <c r="I21" s="555"/>
      <c r="J21" s="555"/>
      <c r="K21" s="555"/>
      <c r="L21" s="555"/>
      <c r="M21" s="555"/>
      <c r="N21" s="555"/>
      <c r="O21" s="555"/>
      <c r="P21" s="555"/>
      <c r="Q21" s="555"/>
      <c r="R21" s="555"/>
      <c r="S21" s="556"/>
      <c r="T21" s="636"/>
      <c r="U21" s="2150"/>
      <c r="V21" s="2150"/>
      <c r="W21" s="436"/>
      <c r="X21" s="436"/>
      <c r="Y21" s="436"/>
      <c r="Z21" s="436"/>
      <c r="AA21" s="436"/>
      <c r="AB21" s="350"/>
      <c r="AC21" s="624"/>
      <c r="AD21" s="549"/>
      <c r="AE21" s="350"/>
      <c r="AF21" s="350"/>
      <c r="AG21" s="436"/>
      <c r="AH21" s="436"/>
      <c r="AI21" s="436"/>
      <c r="AJ21" s="436"/>
      <c r="AK21" s="436"/>
      <c r="AL21" s="436"/>
      <c r="AM21" s="436"/>
      <c r="AN21" s="436"/>
      <c r="AO21" s="436"/>
      <c r="AP21" s="436"/>
      <c r="AQ21" s="436"/>
      <c r="AR21" s="436"/>
      <c r="AS21" s="436"/>
      <c r="AT21" s="436"/>
      <c r="AU21" s="436"/>
      <c r="AV21" s="436"/>
      <c r="AW21" s="436"/>
      <c r="AX21" s="436"/>
      <c r="AY21" s="436"/>
      <c r="AZ21" s="436"/>
      <c r="BA21" s="436"/>
      <c r="BB21" s="436"/>
      <c r="BC21" s="436"/>
      <c r="BD21" s="436"/>
      <c r="BE21" s="436"/>
      <c r="BF21" s="436"/>
      <c r="BG21" s="436"/>
      <c r="BH21" s="436"/>
      <c r="BI21" s="436"/>
      <c r="BJ21" s="436"/>
      <c r="BK21" s="436"/>
      <c r="BL21" s="436"/>
      <c r="BM21" s="436"/>
      <c r="BN21" s="436"/>
      <c r="BO21" s="436"/>
      <c r="BP21" s="436"/>
      <c r="BQ21" s="436"/>
      <c r="BR21" s="436"/>
      <c r="BS21" s="436"/>
      <c r="BT21" s="436"/>
      <c r="BU21" s="436"/>
      <c r="BV21" s="436"/>
      <c r="BW21" s="436"/>
      <c r="BX21" s="436"/>
      <c r="BY21" s="436"/>
      <c r="BZ21" s="436"/>
      <c r="CA21" s="436"/>
      <c r="CB21" s="436"/>
      <c r="CC21" s="436"/>
      <c r="CD21" s="436"/>
      <c r="CE21" s="436"/>
    </row>
    <row r="22" spans="1:83" s="1833" customFormat="1" ht="11.25" hidden="1" customHeight="1">
      <c r="A22" s="553"/>
      <c r="B22" s="350"/>
      <c r="C22" s="345"/>
      <c r="D22" s="2230"/>
      <c r="E22" s="569" t="s">
        <v>18</v>
      </c>
      <c r="F22" s="570" t="s">
        <v>18</v>
      </c>
      <c r="G22" s="570" t="s">
        <v>18</v>
      </c>
      <c r="H22" s="571" t="s">
        <v>18</v>
      </c>
      <c r="I22" s="571"/>
      <c r="J22" s="571"/>
      <c r="K22" s="571"/>
      <c r="L22" s="571"/>
      <c r="M22" s="571"/>
      <c r="N22" s="571"/>
      <c r="O22" s="571"/>
      <c r="P22" s="571"/>
      <c r="Q22" s="571"/>
      <c r="R22" s="572"/>
      <c r="S22" s="929"/>
      <c r="T22" s="636"/>
      <c r="U22" s="2150"/>
      <c r="V22" s="2150"/>
      <c r="W22" s="350"/>
      <c r="X22" s="350"/>
      <c r="Y22" s="350"/>
      <c r="Z22" s="350"/>
      <c r="AA22" s="436"/>
      <c r="AB22" s="350"/>
      <c r="AC22" s="624"/>
      <c r="AD22" s="549"/>
      <c r="AE22" s="350"/>
      <c r="AF22" s="350"/>
      <c r="AG22" s="436"/>
      <c r="AH22" s="436"/>
      <c r="AI22" s="436"/>
      <c r="AJ22" s="436"/>
      <c r="AK22" s="436"/>
      <c r="AL22" s="436"/>
      <c r="AM22" s="436"/>
      <c r="AN22" s="436"/>
      <c r="AO22" s="436"/>
      <c r="AP22" s="436"/>
      <c r="AQ22" s="436"/>
      <c r="AR22" s="436"/>
      <c r="AS22" s="436"/>
      <c r="AT22" s="436"/>
      <c r="AU22" s="436"/>
      <c r="AV22" s="436"/>
      <c r="AW22" s="436"/>
      <c r="AX22" s="436"/>
      <c r="AY22" s="436"/>
      <c r="AZ22" s="436"/>
      <c r="BA22" s="436"/>
      <c r="BB22" s="436"/>
      <c r="BC22" s="436"/>
      <c r="BD22" s="436"/>
      <c r="BE22" s="436"/>
      <c r="BF22" s="436"/>
      <c r="BG22" s="436"/>
      <c r="BH22" s="436"/>
      <c r="BI22" s="436"/>
      <c r="BJ22" s="436"/>
      <c r="BK22" s="436"/>
      <c r="BL22" s="436"/>
      <c r="BM22" s="436"/>
      <c r="BN22" s="436"/>
      <c r="BO22" s="436"/>
      <c r="BP22" s="436"/>
      <c r="BQ22" s="436"/>
      <c r="BR22" s="436"/>
      <c r="BS22" s="436"/>
      <c r="BT22" s="436"/>
      <c r="BU22" s="436"/>
      <c r="BV22" s="350"/>
      <c r="BW22" s="350"/>
      <c r="BX22" s="350"/>
      <c r="BY22" s="350"/>
      <c r="BZ22" s="350"/>
      <c r="CA22" s="350"/>
      <c r="CB22" s="350"/>
      <c r="CC22" s="350"/>
      <c r="CD22" s="350"/>
      <c r="CE22" s="350"/>
    </row>
    <row r="23" spans="1:83" ht="18.75" customHeight="1">
      <c r="D23" s="956"/>
      <c r="E23" s="956"/>
      <c r="F23" s="956"/>
      <c r="G23" s="956"/>
      <c r="H23" s="956"/>
      <c r="I23" s="956"/>
      <c r="J23" s="956"/>
      <c r="K23" s="956"/>
      <c r="L23" s="956"/>
      <c r="M23" s="956"/>
      <c r="N23" s="956"/>
      <c r="O23" s="956"/>
      <c r="P23" s="956"/>
      <c r="Q23" s="956"/>
      <c r="R23" s="956"/>
      <c r="S23" s="956"/>
      <c r="T23" s="259"/>
    </row>
    <row r="24" spans="1:83" ht="11.25" customHeight="1">
      <c r="D24" s="434"/>
    </row>
    <row r="25" spans="1:83" ht="11.25" customHeight="1">
      <c r="D25" s="574"/>
      <c r="E25" s="574"/>
      <c r="F25" s="574"/>
      <c r="G25" s="575"/>
    </row>
    <row r="27" spans="1:83" ht="11.25" customHeight="1">
      <c r="D27" s="576"/>
      <c r="E27" s="2232"/>
      <c r="F27" s="2232"/>
      <c r="G27" s="2232"/>
      <c r="H27" s="2232"/>
      <c r="I27" s="2232"/>
      <c r="J27" s="2232"/>
      <c r="K27" s="2232"/>
      <c r="L27" s="2232"/>
      <c r="M27" s="2232"/>
      <c r="N27" s="2232"/>
      <c r="O27" s="2232"/>
      <c r="P27" s="2232"/>
      <c r="Q27" s="2232"/>
      <c r="R27" s="2232"/>
    </row>
    <row r="28" spans="1:83" ht="11.25" customHeight="1">
      <c r="F28" s="676"/>
      <c r="G28" s="676"/>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18"/>
  <sheetViews>
    <sheetView showGridLines="0" topLeftCell="D5" zoomScale="90" workbookViewId="0"/>
  </sheetViews>
  <sheetFormatPr defaultColWidth="9.140625" defaultRowHeight="11.25" customHeight="1"/>
  <cols>
    <col min="1" max="1" width="10.7109375" style="1905" hidden="1" customWidth="1"/>
    <col min="2" max="2" width="16.85546875" style="1882" hidden="1" customWidth="1"/>
    <col min="3" max="3" width="5.5703125" style="1903" hidden="1" customWidth="1"/>
    <col min="4" max="4" width="3.7109375" style="1911" customWidth="1"/>
    <col min="5" max="5" width="7.7109375" style="1859" customWidth="1"/>
    <col min="6" max="6" width="56.140625" style="1859" customWidth="1"/>
    <col min="7" max="7" width="10.42578125" style="1859" customWidth="1"/>
    <col min="8" max="8" width="40.7109375" style="1859" hidden="1" customWidth="1"/>
    <col min="9" max="9" width="40.7109375" style="1859" customWidth="1"/>
    <col min="10" max="10" width="102.85546875" style="1859" customWidth="1"/>
    <col min="11" max="11" width="9.7109375" style="1882" customWidth="1"/>
    <col min="12" max="12" width="5.28515625" style="1903" customWidth="1"/>
    <col min="13" max="13" width="3.7109375" style="1903" customWidth="1"/>
    <col min="14" max="17" width="3.7109375" style="1882" customWidth="1"/>
    <col min="18" max="18" width="10.5703125" style="1903" customWidth="1"/>
    <col min="19" max="19" width="34.7109375" style="1882" customWidth="1"/>
    <col min="20" max="20" width="9.42578125" style="1882" customWidth="1"/>
    <col min="21" max="21" width="9.140625" style="1906"/>
    <col min="22" max="26" width="9.140625" style="1882"/>
    <col min="27" max="31" width="9.140625" style="1858"/>
  </cols>
  <sheetData>
    <row r="1" spans="1:31" s="1882" customFormat="1" ht="11.25" hidden="1" customHeight="1">
      <c r="A1" s="897"/>
      <c r="C1" s="1550"/>
      <c r="D1" s="461"/>
      <c r="H1" s="1062">
        <v>4</v>
      </c>
      <c r="I1" s="1062">
        <v>4</v>
      </c>
      <c r="L1" s="1550"/>
      <c r="M1" s="1550"/>
      <c r="R1" s="1550"/>
    </row>
    <row r="2" spans="1:31" s="1882" customFormat="1" ht="22.5" hidden="1" customHeight="1">
      <c r="A2" s="897"/>
      <c r="C2" s="1550"/>
      <c r="D2" s="462"/>
      <c r="E2" s="1551"/>
      <c r="F2" s="464"/>
      <c r="G2" s="1553" t="s">
        <v>514</v>
      </c>
      <c r="H2" s="465"/>
      <c r="I2" s="465"/>
      <c r="J2" s="466" t="s">
        <v>577</v>
      </c>
      <c r="K2" s="467"/>
      <c r="L2" s="1550"/>
      <c r="M2" s="1550"/>
      <c r="R2" s="1550"/>
      <c r="U2" s="468"/>
      <c r="AA2" s="1546"/>
      <c r="AB2" s="1546"/>
      <c r="AC2" s="1546"/>
      <c r="AD2" s="1546"/>
      <c r="AE2" s="1546"/>
    </row>
    <row r="3" spans="1:31" ht="11.25" hidden="1" customHeight="1"/>
    <row r="4" spans="1:31" s="1858" customFormat="1" ht="11.25" hidden="1" customHeight="1">
      <c r="A4" s="897"/>
      <c r="B4" s="1062"/>
      <c r="C4" s="1550"/>
      <c r="D4" s="288"/>
      <c r="J4" s="1546">
        <v>4</v>
      </c>
      <c r="K4" s="1062"/>
      <c r="L4" s="1550"/>
      <c r="M4" s="1550"/>
      <c r="N4" s="1062"/>
      <c r="O4" s="1062"/>
      <c r="P4" s="1062"/>
      <c r="Q4" s="1062"/>
      <c r="R4" s="1550"/>
      <c r="S4" s="1062"/>
      <c r="T4" s="1062"/>
      <c r="U4" s="468"/>
      <c r="V4" s="1062"/>
      <c r="W4" s="1062"/>
      <c r="X4" s="1062"/>
      <c r="Y4" s="1062"/>
      <c r="Z4" s="1062"/>
    </row>
    <row r="6" spans="1:31" ht="22.5" customHeight="1">
      <c r="E6" s="2012" t="s">
        <v>578</v>
      </c>
      <c r="F6" s="2013"/>
      <c r="G6" s="2013"/>
      <c r="H6" s="2013"/>
      <c r="I6" s="2014"/>
      <c r="J6" s="480"/>
    </row>
    <row r="7" spans="1:31" ht="24" customHeight="1">
      <c r="E7" s="2121" t="str">
        <f>IF(org=0,"Не определено",org)</f>
        <v>ООО "Горводоканал"</v>
      </c>
      <c r="F7" s="2122"/>
      <c r="G7" s="2122"/>
      <c r="H7" s="2122"/>
      <c r="I7" s="2123"/>
    </row>
    <row r="8" spans="1:31" ht="11.25" customHeight="1">
      <c r="E8" s="1039"/>
      <c r="F8" s="1039"/>
      <c r="G8" s="1039"/>
      <c r="H8" s="1039"/>
      <c r="I8" s="1039"/>
    </row>
    <row r="9" spans="1:31" s="1903" customFormat="1" ht="0.75" customHeight="1">
      <c r="A9" s="1069"/>
      <c r="D9" s="1555"/>
      <c r="H9" s="803"/>
      <c r="I9" s="803" t="s">
        <v>99</v>
      </c>
    </row>
    <row r="10" spans="1:31" ht="11.25" customHeight="1">
      <c r="E10" s="629"/>
      <c r="F10" s="2224" t="s">
        <v>87</v>
      </c>
      <c r="G10" s="2225"/>
      <c r="H10" s="1472" t="str">
        <f>IF(H9="","",INDEX(DIFFERENTIATION_UNMERGE_VD,MATCH(H9,DIFFERENTIATION_ID_DIFF,0)))</f>
        <v/>
      </c>
      <c r="I10" s="1472">
        <f>IF(I9="","",INDEX(DIFFERENTIATION_UNMERGE_VD,MATCH(I9,DIFFERENTIATION_ID_DIFF,0)))</f>
        <v>0</v>
      </c>
      <c r="J10" s="2019"/>
    </row>
    <row r="11" spans="1:31" ht="11.25" customHeight="1">
      <c r="E11" s="629"/>
      <c r="F11" s="2224" t="s">
        <v>526</v>
      </c>
      <c r="G11" s="2225"/>
      <c r="H11" s="1472" t="str">
        <f>IF(H9="","",INDEX(DIFFERENTIATION_UNMERGE_AREA,MATCH(H9,DIFFERENTIATION_ID_DIFF,0)))</f>
        <v/>
      </c>
      <c r="I11" s="1472" t="str">
        <f>IF(I9="","",INDEX(DIFFERENTIATION_UNMERGE_AREA,MATCH(I9,DIFFERENTIATION_ID_DIFF,0)))</f>
        <v/>
      </c>
      <c r="J11" s="2019"/>
    </row>
    <row r="12" spans="1:31" ht="11.25" hidden="1" customHeight="1">
      <c r="E12" s="1575"/>
      <c r="F12" s="2238" t="s">
        <v>527</v>
      </c>
      <c r="G12" s="2239"/>
      <c r="H12" s="1576" t="str">
        <f>IF(H9="","",INDEX(DIFFERENTIATION_UNMERGE_SYSTEM,MATCH(H9,DIFFERENTIATION_ID_DIFF,0)))</f>
        <v/>
      </c>
      <c r="I12" s="1576" t="str">
        <f>IF(I9="","",INDEX(DIFFERENTIATION_UNMERGE_SYSTEM,MATCH(I9,DIFFERENTIATION_ID_DIFF,0)))</f>
        <v>без дифференциации</v>
      </c>
      <c r="J12" s="2019"/>
    </row>
    <row r="13" spans="1:31" ht="11.25" customHeight="1">
      <c r="E13" s="2226" t="s">
        <v>268</v>
      </c>
      <c r="F13" s="2227"/>
      <c r="G13" s="2227"/>
      <c r="H13" s="1471"/>
      <c r="I13" s="1471"/>
      <c r="J13" s="2019"/>
    </row>
    <row r="14" spans="1:31" ht="22.5" customHeight="1">
      <c r="E14" s="1553" t="s">
        <v>73</v>
      </c>
      <c r="F14" s="1548" t="s">
        <v>270</v>
      </c>
      <c r="G14" s="1548" t="s">
        <v>528</v>
      </c>
      <c r="H14" s="1548" t="s">
        <v>271</v>
      </c>
      <c r="I14" s="1548" t="s">
        <v>271</v>
      </c>
      <c r="J14" s="2019"/>
    </row>
    <row r="15" spans="1:31" ht="18.75" customHeight="1">
      <c r="D15" s="1552"/>
      <c r="E15" s="1544" t="s">
        <v>91</v>
      </c>
      <c r="F15" s="625" t="s">
        <v>579</v>
      </c>
      <c r="G15" s="1559" t="s">
        <v>514</v>
      </c>
      <c r="H15" s="481"/>
      <c r="I15" s="481"/>
      <c r="J15" s="206" t="s">
        <v>580</v>
      </c>
      <c r="K15" s="467" t="s">
        <v>581</v>
      </c>
    </row>
    <row r="16" spans="1:31" ht="33.75" customHeight="1">
      <c r="D16" s="1552"/>
      <c r="E16" s="1544" t="s">
        <v>92</v>
      </c>
      <c r="F16" s="625" t="s">
        <v>582</v>
      </c>
      <c r="G16" s="1559" t="s">
        <v>514</v>
      </c>
      <c r="H16" s="482">
        <f>SUM(H17,H20:H32)</f>
        <v>0</v>
      </c>
      <c r="I16" s="482">
        <f>SUM(I17,I20:I32)</f>
        <v>0</v>
      </c>
      <c r="J16" s="206" t="s">
        <v>583</v>
      </c>
      <c r="K16" s="467" t="s">
        <v>581</v>
      </c>
    </row>
    <row r="17" spans="1:31" ht="18.75" customHeight="1">
      <c r="D17" s="1552"/>
      <c r="E17" s="1577" t="s">
        <v>584</v>
      </c>
      <c r="F17" s="865" t="s">
        <v>585</v>
      </c>
      <c r="G17" s="1556" t="s">
        <v>514</v>
      </c>
      <c r="H17" s="481"/>
      <c r="I17" s="481"/>
      <c r="J17" s="206" t="s">
        <v>586</v>
      </c>
      <c r="K17" s="467"/>
    </row>
    <row r="18" spans="1:31" ht="22.5" customHeight="1">
      <c r="D18" s="1552"/>
      <c r="E18" s="1577" t="s">
        <v>587</v>
      </c>
      <c r="F18" s="1563" t="s">
        <v>588</v>
      </c>
      <c r="G18" s="1556" t="s">
        <v>514</v>
      </c>
      <c r="H18" s="481"/>
      <c r="I18" s="481"/>
      <c r="J18" s="206" t="s">
        <v>589</v>
      </c>
      <c r="K18" s="467"/>
    </row>
    <row r="19" spans="1:31" ht="33.75" customHeight="1">
      <c r="D19" s="1552"/>
      <c r="E19" s="1577" t="s">
        <v>590</v>
      </c>
      <c r="F19" s="1563" t="s">
        <v>591</v>
      </c>
      <c r="G19" s="1556" t="s">
        <v>514</v>
      </c>
      <c r="H19" s="481"/>
      <c r="I19" s="481"/>
      <c r="J19" s="206"/>
      <c r="K19" s="467"/>
    </row>
    <row r="20" spans="1:31" ht="18.75" customHeight="1">
      <c r="D20" s="1552"/>
      <c r="E20" s="1577" t="s">
        <v>275</v>
      </c>
      <c r="F20" s="865" t="s">
        <v>592</v>
      </c>
      <c r="G20" s="1556" t="s">
        <v>514</v>
      </c>
      <c r="H20" s="481"/>
      <c r="I20" s="481"/>
      <c r="J20" s="206" t="s">
        <v>593</v>
      </c>
      <c r="K20" s="467"/>
    </row>
    <row r="21" spans="1:31" ht="18.75" customHeight="1">
      <c r="D21" s="1552"/>
      <c r="E21" s="1577" t="s">
        <v>594</v>
      </c>
      <c r="F21" s="1563" t="s">
        <v>595</v>
      </c>
      <c r="G21" s="1556" t="s">
        <v>514</v>
      </c>
      <c r="H21" s="481"/>
      <c r="I21" s="481"/>
      <c r="J21" s="206"/>
      <c r="K21" s="467"/>
    </row>
    <row r="22" spans="1:31" ht="18.75" customHeight="1">
      <c r="D22" s="1552"/>
      <c r="E22" s="1577" t="s">
        <v>596</v>
      </c>
      <c r="F22" s="1563" t="s">
        <v>597</v>
      </c>
      <c r="G22" s="1556" t="s">
        <v>514</v>
      </c>
      <c r="H22" s="481"/>
      <c r="I22" s="481"/>
      <c r="J22" s="206"/>
      <c r="K22" s="467"/>
    </row>
    <row r="23" spans="1:31" ht="22.5" customHeight="1">
      <c r="D23" s="1552"/>
      <c r="E23" s="1577" t="s">
        <v>278</v>
      </c>
      <c r="F23" s="865" t="s">
        <v>598</v>
      </c>
      <c r="G23" s="1556" t="s">
        <v>514</v>
      </c>
      <c r="H23" s="481"/>
      <c r="I23" s="481"/>
      <c r="J23" s="206" t="s">
        <v>599</v>
      </c>
      <c r="K23" s="467"/>
    </row>
    <row r="24" spans="1:31" ht="18.75" customHeight="1">
      <c r="D24" s="1552"/>
      <c r="E24" s="1577" t="s">
        <v>600</v>
      </c>
      <c r="F24" s="1563" t="s">
        <v>601</v>
      </c>
      <c r="G24" s="1556" t="s">
        <v>514</v>
      </c>
      <c r="H24" s="481"/>
      <c r="I24" s="481"/>
      <c r="J24" s="206"/>
      <c r="K24" s="467"/>
    </row>
    <row r="25" spans="1:31" ht="33.75" customHeight="1">
      <c r="D25" s="1552"/>
      <c r="E25" s="1577" t="s">
        <v>602</v>
      </c>
      <c r="F25" s="1563" t="s">
        <v>603</v>
      </c>
      <c r="G25" s="1556" t="s">
        <v>514</v>
      </c>
      <c r="H25" s="481"/>
      <c r="I25" s="481"/>
      <c r="J25" s="206"/>
      <c r="K25" s="467"/>
    </row>
    <row r="26" spans="1:31" ht="22.5" customHeight="1">
      <c r="D26" s="1552"/>
      <c r="E26" s="1577" t="s">
        <v>604</v>
      </c>
      <c r="F26" s="865" t="s">
        <v>605</v>
      </c>
      <c r="G26" s="1556" t="s">
        <v>514</v>
      </c>
      <c r="H26" s="481"/>
      <c r="I26" s="481"/>
      <c r="J26" s="206" t="s">
        <v>606</v>
      </c>
      <c r="K26" s="467"/>
    </row>
    <row r="27" spans="1:31" ht="18.75" customHeight="1">
      <c r="D27" s="1552"/>
      <c r="E27" s="1588" t="s">
        <v>607</v>
      </c>
      <c r="F27" s="1563" t="s">
        <v>608</v>
      </c>
      <c r="G27" s="1567" t="s">
        <v>514</v>
      </c>
      <c r="H27" s="1589"/>
      <c r="I27" s="1589"/>
      <c r="J27" s="206"/>
      <c r="K27" s="467"/>
    </row>
    <row r="28" spans="1:31" ht="18.75" customHeight="1">
      <c r="D28" s="1552"/>
      <c r="E28" s="1588" t="s">
        <v>609</v>
      </c>
      <c r="F28" s="1563" t="s">
        <v>610</v>
      </c>
      <c r="G28" s="1567" t="s">
        <v>514</v>
      </c>
      <c r="H28" s="1589"/>
      <c r="I28" s="1589"/>
      <c r="J28" s="206"/>
      <c r="K28" s="467"/>
    </row>
    <row r="29" spans="1:31" ht="18.75" customHeight="1">
      <c r="D29" s="1552"/>
      <c r="E29" s="1588" t="s">
        <v>611</v>
      </c>
      <c r="F29" s="865" t="s">
        <v>612</v>
      </c>
      <c r="G29" s="1567" t="s">
        <v>514</v>
      </c>
      <c r="H29" s="1589"/>
      <c r="I29" s="1589"/>
      <c r="J29" s="206"/>
      <c r="K29" s="467"/>
    </row>
    <row r="30" spans="1:31" ht="18.75" customHeight="1">
      <c r="D30" s="1552"/>
      <c r="E30" s="1588" t="s">
        <v>613</v>
      </c>
      <c r="F30" s="865" t="s">
        <v>614</v>
      </c>
      <c r="G30" s="1567" t="s">
        <v>514</v>
      </c>
      <c r="H30" s="1589"/>
      <c r="I30" s="1589"/>
      <c r="J30" s="206"/>
      <c r="K30" s="467"/>
    </row>
    <row r="31" spans="1:31" ht="18.75" customHeight="1">
      <c r="D31" s="1552"/>
      <c r="E31" s="1588" t="s">
        <v>615</v>
      </c>
      <c r="F31" s="865" t="s">
        <v>616</v>
      </c>
      <c r="G31" s="1567" t="s">
        <v>514</v>
      </c>
      <c r="H31" s="1589"/>
      <c r="I31" s="1589"/>
      <c r="J31" s="206"/>
      <c r="K31" s="467"/>
    </row>
    <row r="32" spans="1:31" s="1882" customFormat="1" ht="22.5" customHeight="1">
      <c r="A32" s="897"/>
      <c r="C32" s="1550"/>
      <c r="D32" s="1552"/>
      <c r="E32" s="1588" t="s">
        <v>617</v>
      </c>
      <c r="F32" s="865" t="s">
        <v>618</v>
      </c>
      <c r="G32" s="1557" t="s">
        <v>514</v>
      </c>
      <c r="H32" s="503">
        <f>SUM(H33:H34)</f>
        <v>0</v>
      </c>
      <c r="I32" s="503">
        <f>SUM(I33:I34)</f>
        <v>0</v>
      </c>
      <c r="J32" s="206" t="s">
        <v>619</v>
      </c>
      <c r="K32" s="467"/>
      <c r="L32" s="1550"/>
      <c r="M32" s="1550"/>
      <c r="R32" s="1550"/>
      <c r="U32" s="468"/>
      <c r="AA32" s="1546"/>
      <c r="AB32" s="1546"/>
      <c r="AC32" s="1546"/>
      <c r="AD32" s="1546"/>
      <c r="AE32" s="1546"/>
    </row>
    <row r="33" spans="1:31" s="1903" customFormat="1" ht="0.75" customHeight="1">
      <c r="A33" s="1069"/>
      <c r="D33" s="472"/>
      <c r="E33" s="720" t="str">
        <f>E32&amp;".0"</f>
        <v>2.8.0</v>
      </c>
      <c r="F33" s="901"/>
      <c r="G33" s="475"/>
      <c r="H33" s="902"/>
      <c r="I33" s="902"/>
      <c r="J33" s="903"/>
    </row>
    <row r="34" spans="1:31" s="1882" customFormat="1" ht="18.75" customHeight="1">
      <c r="A34" s="897"/>
      <c r="C34" s="1550"/>
      <c r="D34" s="1547"/>
      <c r="E34" s="494"/>
      <c r="F34" s="1579" t="s">
        <v>539</v>
      </c>
      <c r="G34" s="496"/>
      <c r="H34" s="497"/>
      <c r="I34" s="497"/>
      <c r="J34" s="218" t="s">
        <v>620</v>
      </c>
      <c r="K34" s="467"/>
      <c r="L34" s="1550"/>
      <c r="M34" s="1550"/>
      <c r="R34" s="1550"/>
      <c r="U34" s="468"/>
      <c r="AA34" s="1546"/>
      <c r="AB34" s="1546"/>
      <c r="AC34" s="1546"/>
      <c r="AD34" s="1546"/>
      <c r="AE34" s="1546"/>
    </row>
    <row r="35" spans="1:31" ht="56.25" customHeight="1">
      <c r="D35" s="1552"/>
      <c r="E35" s="1588" t="s">
        <v>621</v>
      </c>
      <c r="F35" s="865" t="s">
        <v>622</v>
      </c>
      <c r="G35" s="1567" t="s">
        <v>514</v>
      </c>
      <c r="H35" s="1589"/>
      <c r="I35" s="1589"/>
      <c r="J35" s="206" t="s">
        <v>623</v>
      </c>
      <c r="K35" s="467"/>
    </row>
    <row r="36" spans="1:31" s="1882" customFormat="1" ht="22.5" customHeight="1">
      <c r="A36" s="899" t="s">
        <v>540</v>
      </c>
      <c r="C36" s="1550"/>
      <c r="D36" s="1552"/>
      <c r="E36" s="1577" t="s">
        <v>75</v>
      </c>
      <c r="F36" s="625" t="s">
        <v>624</v>
      </c>
      <c r="G36" s="1556" t="s">
        <v>514</v>
      </c>
      <c r="H36" s="481"/>
      <c r="I36" s="481"/>
      <c r="J36" s="206" t="s">
        <v>625</v>
      </c>
      <c r="K36" s="467"/>
      <c r="L36" s="1550"/>
      <c r="M36" s="1550"/>
      <c r="R36" s="1550"/>
      <c r="U36" s="468"/>
      <c r="AA36" s="1546"/>
      <c r="AB36" s="1546"/>
      <c r="AC36" s="1546"/>
      <c r="AD36" s="1546"/>
      <c r="AE36" s="1546"/>
    </row>
    <row r="37" spans="1:31" s="1882" customFormat="1" ht="22.5" customHeight="1">
      <c r="A37" s="899"/>
      <c r="C37" s="1550"/>
      <c r="D37" s="1552"/>
      <c r="E37" s="1577" t="s">
        <v>294</v>
      </c>
      <c r="F37" s="865" t="s">
        <v>626</v>
      </c>
      <c r="G37" s="1567"/>
      <c r="H37" s="481"/>
      <c r="I37" s="481"/>
      <c r="J37" s="206"/>
      <c r="K37" s="467"/>
      <c r="L37" s="1550"/>
      <c r="M37" s="1550"/>
      <c r="R37" s="1550"/>
      <c r="U37" s="468"/>
      <c r="AA37" s="1546"/>
      <c r="AB37" s="1546"/>
      <c r="AC37" s="1546"/>
      <c r="AD37" s="1546"/>
      <c r="AE37" s="1546"/>
    </row>
    <row r="38" spans="1:31" s="1882" customFormat="1" ht="18.75" customHeight="1">
      <c r="A38" s="897"/>
      <c r="C38" s="1550"/>
      <c r="D38" s="499"/>
      <c r="E38" s="1577" t="s">
        <v>76</v>
      </c>
      <c r="F38" s="625" t="s">
        <v>627</v>
      </c>
      <c r="G38" s="1556" t="s">
        <v>514</v>
      </c>
      <c r="H38" s="481"/>
      <c r="I38" s="481"/>
      <c r="J38" s="206" t="s">
        <v>628</v>
      </c>
      <c r="K38" s="467"/>
      <c r="L38" s="1550"/>
      <c r="M38" s="1550"/>
      <c r="R38" s="1550"/>
      <c r="U38" s="468"/>
      <c r="AA38" s="1546"/>
      <c r="AB38" s="1546"/>
      <c r="AC38" s="1546"/>
      <c r="AD38" s="1546"/>
      <c r="AE38" s="1546"/>
    </row>
    <row r="39" spans="1:31" s="1882" customFormat="1" ht="22.5" customHeight="1">
      <c r="A39" s="897"/>
      <c r="C39" s="1550"/>
      <c r="D39" s="499"/>
      <c r="E39" s="1577" t="s">
        <v>629</v>
      </c>
      <c r="F39" s="865" t="s">
        <v>630</v>
      </c>
      <c r="G39" s="1567" t="s">
        <v>514</v>
      </c>
      <c r="H39" s="481"/>
      <c r="I39" s="481"/>
      <c r="J39" s="206" t="s">
        <v>631</v>
      </c>
      <c r="K39" s="467"/>
      <c r="L39" s="1550"/>
      <c r="M39" s="1550"/>
      <c r="R39" s="1550"/>
      <c r="U39" s="468"/>
      <c r="AA39" s="1546"/>
      <c r="AB39" s="1546"/>
      <c r="AC39" s="1546"/>
      <c r="AD39" s="1546"/>
      <c r="AE39" s="1546"/>
    </row>
    <row r="40" spans="1:31" s="1882" customFormat="1" ht="22.5" customHeight="1">
      <c r="A40" s="897"/>
      <c r="C40" s="1550"/>
      <c r="D40" s="1552"/>
      <c r="E40" s="1577" t="s">
        <v>632</v>
      </c>
      <c r="F40" s="1563" t="s">
        <v>633</v>
      </c>
      <c r="G40" s="1556" t="s">
        <v>514</v>
      </c>
      <c r="H40" s="481"/>
      <c r="I40" s="481"/>
      <c r="J40" s="206" t="s">
        <v>634</v>
      </c>
      <c r="K40" s="467"/>
      <c r="L40" s="1550"/>
      <c r="M40" s="1550"/>
      <c r="R40" s="1550"/>
      <c r="U40" s="468"/>
      <c r="AA40" s="1546"/>
      <c r="AB40" s="1546"/>
      <c r="AC40" s="1546"/>
      <c r="AD40" s="1546"/>
      <c r="AE40" s="1546"/>
    </row>
    <row r="41" spans="1:31" s="1882" customFormat="1" ht="22.5" customHeight="1">
      <c r="A41" s="897"/>
      <c r="C41" s="1550"/>
      <c r="D41" s="1552"/>
      <c r="E41" s="1577" t="s">
        <v>635</v>
      </c>
      <c r="F41" s="1563" t="s">
        <v>636</v>
      </c>
      <c r="G41" s="1556" t="s">
        <v>514</v>
      </c>
      <c r="H41" s="481"/>
      <c r="I41" s="481"/>
      <c r="J41" s="206" t="s">
        <v>637</v>
      </c>
      <c r="K41" s="467"/>
      <c r="L41" s="1550"/>
      <c r="M41" s="1550"/>
      <c r="R41" s="1550"/>
      <c r="U41" s="468"/>
      <c r="AA41" s="1546"/>
      <c r="AB41" s="1546"/>
      <c r="AC41" s="1546"/>
      <c r="AD41" s="1546"/>
      <c r="AE41" s="1546"/>
    </row>
    <row r="42" spans="1:31" s="1882" customFormat="1" ht="22.5" customHeight="1">
      <c r="A42" s="897"/>
      <c r="C42" s="1550"/>
      <c r="D42" s="1552"/>
      <c r="E42" s="1577" t="s">
        <v>638</v>
      </c>
      <c r="F42" s="1563" t="s">
        <v>639</v>
      </c>
      <c r="G42" s="1556" t="s">
        <v>514</v>
      </c>
      <c r="H42" s="481"/>
      <c r="I42" s="481"/>
      <c r="J42" s="206" t="s">
        <v>640</v>
      </c>
      <c r="K42" s="467"/>
      <c r="L42" s="1550"/>
      <c r="M42" s="1550"/>
      <c r="R42" s="1550"/>
      <c r="U42" s="468"/>
      <c r="AA42" s="1546"/>
      <c r="AB42" s="1546"/>
      <c r="AC42" s="1546"/>
      <c r="AD42" s="1546"/>
      <c r="AE42" s="1546"/>
    </row>
    <row r="43" spans="1:31" s="1882" customFormat="1" ht="33.75" customHeight="1">
      <c r="A43" s="897"/>
      <c r="C43" s="1550" t="s">
        <v>550</v>
      </c>
      <c r="D43" s="1552"/>
      <c r="E43" s="1577" t="s">
        <v>93</v>
      </c>
      <c r="F43" s="625" t="s">
        <v>641</v>
      </c>
      <c r="G43" s="1559" t="s">
        <v>642</v>
      </c>
      <c r="H43" s="334"/>
      <c r="I43" s="334"/>
      <c r="J43" s="206" t="s">
        <v>643</v>
      </c>
      <c r="K43" s="467"/>
      <c r="L43" s="1550"/>
      <c r="M43" s="1550"/>
      <c r="R43" s="1550"/>
      <c r="U43" s="468"/>
      <c r="AA43" s="1546"/>
      <c r="AB43" s="1546"/>
      <c r="AC43" s="1546"/>
      <c r="AD43" s="1546"/>
      <c r="AE43" s="1546"/>
    </row>
    <row r="44" spans="1:31" s="1882" customFormat="1" ht="22.5" customHeight="1">
      <c r="A44" s="897"/>
      <c r="C44" s="1550"/>
      <c r="D44" s="1552"/>
      <c r="E44" s="1577" t="s">
        <v>77</v>
      </c>
      <c r="F44" s="625" t="s">
        <v>644</v>
      </c>
      <c r="G44" s="1556" t="s">
        <v>645</v>
      </c>
      <c r="H44" s="469"/>
      <c r="I44" s="469"/>
      <c r="J44" s="206" t="s">
        <v>646</v>
      </c>
      <c r="K44" s="467"/>
      <c r="L44" s="1550"/>
      <c r="M44" s="1550"/>
      <c r="R44" s="1550"/>
      <c r="U44" s="468"/>
      <c r="AA44" s="1546"/>
      <c r="AB44" s="1546"/>
      <c r="AC44" s="1546"/>
      <c r="AD44" s="1546"/>
      <c r="AE44" s="1546"/>
    </row>
    <row r="45" spans="1:31" s="1882" customFormat="1" ht="22.5" customHeight="1">
      <c r="A45" s="897"/>
      <c r="C45" s="1550"/>
      <c r="D45" s="1552"/>
      <c r="E45" s="1577" t="s">
        <v>78</v>
      </c>
      <c r="F45" s="625" t="s">
        <v>647</v>
      </c>
      <c r="G45" s="1567" t="s">
        <v>648</v>
      </c>
      <c r="H45" s="469"/>
      <c r="I45" s="469"/>
      <c r="J45" s="206" t="s">
        <v>649</v>
      </c>
      <c r="K45" s="467"/>
      <c r="L45" s="1550"/>
      <c r="M45" s="1550"/>
      <c r="R45" s="1550"/>
      <c r="U45" s="468"/>
      <c r="AA45" s="1546"/>
      <c r="AB45" s="1546"/>
      <c r="AC45" s="1546"/>
      <c r="AD45" s="1546"/>
      <c r="AE45" s="1546"/>
    </row>
    <row r="46" spans="1:31" s="1882" customFormat="1" ht="18.75" customHeight="1">
      <c r="A46" s="897"/>
      <c r="C46" s="1550"/>
      <c r="D46" s="1552"/>
      <c r="E46" s="1577" t="s">
        <v>94</v>
      </c>
      <c r="F46" s="625" t="s">
        <v>650</v>
      </c>
      <c r="G46" s="1556" t="s">
        <v>552</v>
      </c>
      <c r="H46" s="501"/>
      <c r="I46" s="501"/>
      <c r="J46" s="206"/>
      <c r="K46" s="467"/>
      <c r="L46" s="1550"/>
      <c r="M46" s="1550"/>
      <c r="R46" s="1550"/>
      <c r="U46" s="468"/>
      <c r="AA46" s="1546"/>
      <c r="AB46" s="1546"/>
      <c r="AC46" s="1546"/>
      <c r="AD46" s="1546"/>
      <c r="AE46" s="1546"/>
    </row>
    <row r="47" spans="1:31" ht="11.25" customHeight="1">
      <c r="D47" s="1552"/>
    </row>
    <row r="48" spans="1:31" ht="26.25" customHeight="1">
      <c r="D48" s="1552"/>
      <c r="E48" s="1166"/>
      <c r="F48" s="2145"/>
      <c r="G48" s="2145"/>
      <c r="H48" s="2145"/>
      <c r="I48" s="2145"/>
      <c r="J48" s="2145"/>
    </row>
    <row r="49" spans="1:31" s="1907" customFormat="1" ht="37.5" customHeight="1">
      <c r="A49" s="897"/>
      <c r="B49" s="1550"/>
      <c r="C49" s="1550"/>
      <c r="D49" s="275"/>
      <c r="F49" s="2145"/>
      <c r="G49" s="2145"/>
      <c r="H49" s="2145"/>
      <c r="I49" s="2145"/>
      <c r="J49" s="2145"/>
      <c r="K49" s="1062"/>
      <c r="L49" s="1550"/>
      <c r="M49" s="1550"/>
      <c r="N49" s="1062"/>
      <c r="O49" s="1062"/>
      <c r="P49" s="1062"/>
      <c r="Q49" s="1062"/>
      <c r="R49" s="1550"/>
      <c r="S49" s="1062"/>
      <c r="T49" s="1062"/>
      <c r="U49" s="468"/>
      <c r="V49" s="1062"/>
      <c r="W49" s="1062"/>
      <c r="X49" s="1062"/>
      <c r="Y49" s="1062"/>
      <c r="Z49" s="1062"/>
      <c r="AA49" s="1546"/>
      <c r="AB49" s="490"/>
      <c r="AC49" s="490"/>
      <c r="AD49" s="490"/>
      <c r="AE49" s="490"/>
    </row>
    <row r="50" spans="1:31" s="1907" customFormat="1" ht="11.25" customHeight="1">
      <c r="A50" s="897"/>
      <c r="B50" s="1550"/>
      <c r="C50" s="1550"/>
      <c r="D50" s="275"/>
      <c r="K50" s="1062"/>
      <c r="L50" s="1550"/>
      <c r="M50" s="1550"/>
      <c r="N50" s="1062"/>
      <c r="O50" s="1062"/>
      <c r="P50" s="1062"/>
      <c r="Q50" s="1062"/>
      <c r="R50" s="1550"/>
      <c r="S50" s="1062"/>
      <c r="T50" s="1062"/>
      <c r="U50" s="468"/>
      <c r="V50" s="1062"/>
      <c r="W50" s="1062"/>
      <c r="X50" s="1062"/>
      <c r="Y50" s="1062"/>
      <c r="Z50" s="1062"/>
      <c r="AA50" s="1546"/>
      <c r="AB50" s="490"/>
      <c r="AC50" s="490"/>
      <c r="AD50" s="490"/>
      <c r="AE50" s="490"/>
    </row>
    <row r="51" spans="1:31" s="1907" customFormat="1" ht="11.25" customHeight="1">
      <c r="A51" s="897"/>
      <c r="B51" s="1550"/>
      <c r="C51" s="1550"/>
      <c r="D51" s="275"/>
      <c r="K51" s="1062"/>
      <c r="L51" s="1550"/>
      <c r="M51" s="1550"/>
      <c r="N51" s="1062"/>
      <c r="O51" s="1062"/>
      <c r="P51" s="1062"/>
      <c r="Q51" s="1062"/>
      <c r="R51" s="1550"/>
      <c r="S51" s="1062"/>
      <c r="T51" s="1062"/>
      <c r="U51" s="468"/>
      <c r="V51" s="1062"/>
      <c r="W51" s="1062"/>
      <c r="X51" s="1062"/>
      <c r="Y51" s="1062"/>
      <c r="Z51" s="1062"/>
      <c r="AA51" s="1546"/>
      <c r="AB51" s="490"/>
      <c r="AC51" s="490"/>
      <c r="AD51" s="490"/>
      <c r="AE51" s="490"/>
    </row>
    <row r="52" spans="1:31" s="1907" customFormat="1" ht="11.25" customHeight="1">
      <c r="A52" s="897"/>
      <c r="B52" s="1550"/>
      <c r="C52" s="1550"/>
      <c r="D52" s="275"/>
      <c r="H52" s="490"/>
      <c r="I52" s="490"/>
      <c r="K52" s="1062"/>
      <c r="L52" s="1550"/>
      <c r="M52" s="1550"/>
      <c r="N52" s="1062"/>
      <c r="O52" s="1062"/>
      <c r="P52" s="1062"/>
      <c r="Q52" s="1062"/>
      <c r="R52" s="1550"/>
      <c r="S52" s="1062"/>
      <c r="T52" s="1062"/>
      <c r="U52" s="468"/>
      <c r="V52" s="1062"/>
      <c r="W52" s="1062"/>
      <c r="X52" s="1062"/>
      <c r="Y52" s="1062"/>
      <c r="Z52" s="1062"/>
      <c r="AA52" s="1546"/>
      <c r="AB52" s="490"/>
      <c r="AC52" s="490"/>
      <c r="AD52" s="490"/>
      <c r="AE52" s="490"/>
    </row>
    <row r="53" spans="1:31" s="1907" customFormat="1" ht="11.25" customHeight="1">
      <c r="A53" s="897"/>
      <c r="B53" s="1550"/>
      <c r="C53" s="1550"/>
      <c r="D53" s="275"/>
      <c r="K53" s="1062"/>
      <c r="L53" s="1550"/>
      <c r="M53" s="1550"/>
      <c r="N53" s="1062"/>
      <c r="O53" s="1062"/>
      <c r="P53" s="1062"/>
      <c r="Q53" s="1062"/>
      <c r="R53" s="1550"/>
      <c r="S53" s="1062"/>
      <c r="T53" s="1062"/>
      <c r="U53" s="468"/>
      <c r="V53" s="1062"/>
      <c r="W53" s="1062"/>
      <c r="X53" s="1062"/>
      <c r="Y53" s="1062"/>
      <c r="Z53" s="1062"/>
      <c r="AA53" s="1546"/>
      <c r="AB53" s="490"/>
      <c r="AC53" s="490"/>
      <c r="AD53" s="490"/>
      <c r="AE53" s="490"/>
    </row>
    <row r="54" spans="1:31" s="1907" customFormat="1" ht="11.25" customHeight="1">
      <c r="A54" s="897"/>
      <c r="B54" s="1550"/>
      <c r="C54" s="1550"/>
      <c r="D54" s="275"/>
      <c r="K54" s="1062"/>
      <c r="L54" s="1550"/>
      <c r="M54" s="1550"/>
      <c r="N54" s="1062"/>
      <c r="O54" s="1062"/>
      <c r="P54" s="1062"/>
      <c r="Q54" s="1062"/>
      <c r="R54" s="1550"/>
      <c r="S54" s="1062"/>
      <c r="T54" s="1062"/>
      <c r="U54" s="468"/>
      <c r="V54" s="1062"/>
      <c r="W54" s="1062"/>
      <c r="X54" s="1062"/>
      <c r="Y54" s="1062"/>
      <c r="Z54" s="1062"/>
      <c r="AA54" s="1546"/>
      <c r="AB54" s="490"/>
      <c r="AC54" s="490"/>
      <c r="AD54" s="490"/>
      <c r="AE54" s="490"/>
    </row>
    <row r="55" spans="1:31" s="1907" customFormat="1" ht="11.25" customHeight="1">
      <c r="A55" s="897"/>
      <c r="B55" s="1550"/>
      <c r="C55" s="1550"/>
      <c r="D55" s="275"/>
      <c r="K55" s="1062"/>
      <c r="L55" s="1550"/>
      <c r="M55" s="1550"/>
      <c r="N55" s="1062"/>
      <c r="O55" s="1062"/>
      <c r="P55" s="1062"/>
      <c r="Q55" s="1062"/>
      <c r="R55" s="1550"/>
      <c r="S55" s="1062"/>
      <c r="T55" s="1062"/>
      <c r="U55" s="468"/>
      <c r="V55" s="1062"/>
      <c r="W55" s="1062"/>
      <c r="X55" s="1062"/>
      <c r="Y55" s="1062"/>
      <c r="Z55" s="1062"/>
      <c r="AA55" s="1546"/>
      <c r="AB55" s="490"/>
      <c r="AC55" s="490"/>
      <c r="AD55" s="490"/>
      <c r="AE55" s="490"/>
    </row>
    <row r="56" spans="1:31" s="1907" customFormat="1" ht="11.25" customHeight="1">
      <c r="A56" s="897"/>
      <c r="B56" s="1550"/>
      <c r="C56" s="1550"/>
      <c r="D56" s="275"/>
      <c r="K56" s="1062"/>
      <c r="L56" s="1550"/>
      <c r="M56" s="1550"/>
      <c r="N56" s="1062"/>
      <c r="O56" s="1062"/>
      <c r="P56" s="1062"/>
      <c r="Q56" s="1062"/>
      <c r="R56" s="1550"/>
      <c r="S56" s="1062"/>
      <c r="T56" s="1062"/>
      <c r="U56" s="468"/>
      <c r="V56" s="1062"/>
      <c r="W56" s="1062"/>
      <c r="X56" s="1062"/>
      <c r="Y56" s="1062"/>
      <c r="Z56" s="1062"/>
      <c r="AA56" s="1546"/>
      <c r="AB56" s="490"/>
      <c r="AC56" s="490"/>
      <c r="AD56" s="490"/>
      <c r="AE56" s="490"/>
    </row>
    <row r="57" spans="1:31" s="1907" customFormat="1" ht="11.25" customHeight="1">
      <c r="A57" s="897"/>
      <c r="B57" s="1550"/>
      <c r="C57" s="1550"/>
      <c r="D57" s="275"/>
      <c r="K57" s="1062"/>
      <c r="L57" s="1550"/>
      <c r="M57" s="1550"/>
      <c r="N57" s="1062"/>
      <c r="O57" s="1062"/>
      <c r="P57" s="1062"/>
      <c r="Q57" s="1062"/>
      <c r="R57" s="1550"/>
      <c r="S57" s="1062"/>
      <c r="T57" s="1062"/>
      <c r="U57" s="468"/>
      <c r="V57" s="1062"/>
      <c r="W57" s="1062"/>
      <c r="X57" s="1062"/>
      <c r="Y57" s="1062"/>
      <c r="Z57" s="1062"/>
      <c r="AA57" s="1546"/>
      <c r="AB57" s="490"/>
      <c r="AC57" s="490"/>
      <c r="AD57" s="490"/>
      <c r="AE57" s="490"/>
    </row>
    <row r="58" spans="1:31" s="1907" customFormat="1" ht="11.25" customHeight="1">
      <c r="A58" s="897"/>
      <c r="B58" s="1550"/>
      <c r="C58" s="1550"/>
      <c r="D58" s="275"/>
      <c r="K58" s="1062"/>
      <c r="L58" s="1550"/>
      <c r="M58" s="1550"/>
      <c r="N58" s="1062"/>
      <c r="O58" s="1062"/>
      <c r="P58" s="1062"/>
      <c r="Q58" s="1062"/>
      <c r="R58" s="1550"/>
      <c r="S58" s="1062"/>
      <c r="T58" s="1062"/>
      <c r="U58" s="468"/>
      <c r="V58" s="1062"/>
      <c r="W58" s="1062"/>
      <c r="X58" s="1062"/>
      <c r="Y58" s="1062"/>
      <c r="Z58" s="1062"/>
      <c r="AA58" s="1546"/>
      <c r="AB58" s="490"/>
      <c r="AC58" s="490"/>
      <c r="AD58" s="490"/>
      <c r="AE58" s="490"/>
    </row>
    <row r="59" spans="1:31" s="1907" customFormat="1" ht="11.25" customHeight="1">
      <c r="A59" s="897"/>
      <c r="B59" s="1550"/>
      <c r="C59" s="1550"/>
      <c r="D59" s="275"/>
      <c r="K59" s="1062"/>
      <c r="L59" s="1550"/>
      <c r="M59" s="1550"/>
      <c r="N59" s="1062"/>
      <c r="O59" s="1062"/>
      <c r="P59" s="1062"/>
      <c r="Q59" s="1062"/>
      <c r="R59" s="1550"/>
      <c r="S59" s="1062"/>
      <c r="T59" s="1062"/>
      <c r="U59" s="468"/>
      <c r="V59" s="1062"/>
      <c r="W59" s="1062"/>
      <c r="X59" s="1062"/>
      <c r="Y59" s="1062"/>
      <c r="Z59" s="1062"/>
      <c r="AA59" s="1546"/>
      <c r="AB59" s="490"/>
      <c r="AC59" s="490"/>
      <c r="AD59" s="490"/>
      <c r="AE59" s="490"/>
    </row>
    <row r="60" spans="1:31" s="1907" customFormat="1" ht="11.25" customHeight="1">
      <c r="A60" s="897"/>
      <c r="B60" s="1550"/>
      <c r="C60" s="1550"/>
      <c r="D60" s="275"/>
      <c r="K60" s="1062"/>
      <c r="L60" s="1550"/>
      <c r="M60" s="1550"/>
      <c r="N60" s="1062"/>
      <c r="O60" s="1062"/>
      <c r="P60" s="1062"/>
      <c r="Q60" s="1062"/>
      <c r="R60" s="1550"/>
      <c r="S60" s="1062"/>
      <c r="T60" s="1062"/>
      <c r="U60" s="468"/>
      <c r="V60" s="1062"/>
      <c r="W60" s="1062"/>
      <c r="X60" s="1062"/>
      <c r="Y60" s="1062"/>
      <c r="Z60" s="1062"/>
      <c r="AA60" s="1546"/>
      <c r="AB60" s="490"/>
      <c r="AC60" s="490"/>
      <c r="AD60" s="490"/>
      <c r="AE60" s="490"/>
    </row>
    <row r="61" spans="1:31" s="1907" customFormat="1" ht="11.25" customHeight="1">
      <c r="A61" s="897"/>
      <c r="B61" s="1550"/>
      <c r="C61" s="1550"/>
      <c r="D61" s="275"/>
      <c r="K61" s="1062"/>
      <c r="L61" s="1550"/>
      <c r="M61" s="1550"/>
      <c r="N61" s="1062"/>
      <c r="O61" s="1062"/>
      <c r="P61" s="1062"/>
      <c r="Q61" s="1062"/>
      <c r="R61" s="1550"/>
      <c r="S61" s="1062"/>
      <c r="T61" s="1062"/>
      <c r="U61" s="468"/>
      <c r="V61" s="1062"/>
      <c r="W61" s="1062"/>
      <c r="X61" s="1062"/>
      <c r="Y61" s="1062"/>
      <c r="Z61" s="1062"/>
      <c r="AA61" s="1546"/>
      <c r="AB61" s="490"/>
      <c r="AC61" s="490"/>
      <c r="AD61" s="490"/>
      <c r="AE61" s="490"/>
    </row>
    <row r="62" spans="1:31" s="1907" customFormat="1" ht="11.25" customHeight="1">
      <c r="A62" s="897"/>
      <c r="B62" s="1550"/>
      <c r="C62" s="1550"/>
      <c r="D62" s="275"/>
      <c r="K62" s="1062"/>
      <c r="L62" s="1550"/>
      <c r="M62" s="1550"/>
      <c r="N62" s="1062"/>
      <c r="O62" s="1062"/>
      <c r="P62" s="1062"/>
      <c r="Q62" s="1062"/>
      <c r="R62" s="1550"/>
      <c r="S62" s="1062"/>
      <c r="T62" s="1062"/>
      <c r="U62" s="468"/>
      <c r="V62" s="1062"/>
      <c r="W62" s="1062"/>
      <c r="X62" s="1062"/>
      <c r="Y62" s="1062"/>
      <c r="Z62" s="1062"/>
      <c r="AA62" s="1546"/>
      <c r="AB62" s="490"/>
      <c r="AC62" s="490"/>
      <c r="AD62" s="490"/>
      <c r="AE62" s="490"/>
    </row>
    <row r="63" spans="1:31" s="1907" customFormat="1" ht="11.25" customHeight="1">
      <c r="A63" s="897"/>
      <c r="B63" s="1550"/>
      <c r="C63" s="1550"/>
      <c r="D63" s="275"/>
      <c r="K63" s="1062"/>
      <c r="L63" s="1550"/>
      <c r="M63" s="1550"/>
      <c r="N63" s="1062"/>
      <c r="O63" s="1062"/>
      <c r="P63" s="1062"/>
      <c r="Q63" s="1062"/>
      <c r="R63" s="1550"/>
      <c r="S63" s="1062"/>
      <c r="T63" s="1062"/>
      <c r="U63" s="468"/>
      <c r="V63" s="1062"/>
      <c r="W63" s="1062"/>
      <c r="X63" s="1062"/>
      <c r="Y63" s="1062"/>
      <c r="Z63" s="1062"/>
      <c r="AA63" s="1546"/>
      <c r="AB63" s="490"/>
      <c r="AC63" s="490"/>
      <c r="AD63" s="490"/>
      <c r="AE63" s="490"/>
    </row>
    <row r="64" spans="1:31" s="1907" customFormat="1" ht="11.25" customHeight="1">
      <c r="A64" s="897"/>
      <c r="B64" s="1550"/>
      <c r="C64" s="1550"/>
      <c r="D64" s="275"/>
      <c r="K64" s="1062"/>
      <c r="L64" s="1550"/>
      <c r="M64" s="1550"/>
      <c r="N64" s="1062"/>
      <c r="O64" s="1062"/>
      <c r="P64" s="1062"/>
      <c r="Q64" s="1062"/>
      <c r="R64" s="1550"/>
      <c r="S64" s="1062"/>
      <c r="T64" s="1062"/>
      <c r="U64" s="468"/>
      <c r="V64" s="1062"/>
      <c r="W64" s="1062"/>
      <c r="X64" s="1062"/>
      <c r="Y64" s="1062"/>
      <c r="Z64" s="1062"/>
      <c r="AA64" s="1546"/>
      <c r="AB64" s="490"/>
      <c r="AC64" s="490"/>
      <c r="AD64" s="490"/>
      <c r="AE64" s="490"/>
    </row>
    <row r="65" spans="1:31" s="1907" customFormat="1" ht="11.25" customHeight="1">
      <c r="A65" s="897"/>
      <c r="B65" s="1550"/>
      <c r="C65" s="1550"/>
      <c r="D65" s="275"/>
      <c r="K65" s="1062"/>
      <c r="L65" s="1550"/>
      <c r="M65" s="1550"/>
      <c r="N65" s="1062"/>
      <c r="O65" s="1062"/>
      <c r="P65" s="1062"/>
      <c r="Q65" s="1062"/>
      <c r="R65" s="1550"/>
      <c r="S65" s="1062"/>
      <c r="T65" s="1062"/>
      <c r="U65" s="468"/>
      <c r="V65" s="1062"/>
      <c r="W65" s="1062"/>
      <c r="X65" s="1062"/>
      <c r="Y65" s="1062"/>
      <c r="Z65" s="1062"/>
      <c r="AA65" s="1546"/>
      <c r="AB65" s="490"/>
      <c r="AC65" s="490"/>
      <c r="AD65" s="490"/>
      <c r="AE65" s="490"/>
    </row>
    <row r="66" spans="1:31" s="1907" customFormat="1" ht="11.25" customHeight="1">
      <c r="A66" s="897"/>
      <c r="B66" s="1550"/>
      <c r="C66" s="1550"/>
      <c r="D66" s="275"/>
      <c r="K66" s="1062"/>
      <c r="L66" s="1550"/>
      <c r="M66" s="1550"/>
      <c r="N66" s="1062"/>
      <c r="O66" s="1062"/>
      <c r="P66" s="1062"/>
      <c r="Q66" s="1062"/>
      <c r="R66" s="1550"/>
      <c r="S66" s="1062"/>
      <c r="T66" s="1062"/>
      <c r="U66" s="468"/>
      <c r="V66" s="1062"/>
      <c r="W66" s="1062"/>
      <c r="X66" s="1062"/>
      <c r="Y66" s="1062"/>
      <c r="Z66" s="1062"/>
      <c r="AA66" s="1546"/>
      <c r="AB66" s="490"/>
      <c r="AC66" s="490"/>
      <c r="AD66" s="490"/>
      <c r="AE66" s="490"/>
    </row>
    <row r="67" spans="1:31" s="1907" customFormat="1" ht="11.25" customHeight="1">
      <c r="A67" s="897"/>
      <c r="B67" s="1550"/>
      <c r="C67" s="1550"/>
      <c r="D67" s="275"/>
      <c r="K67" s="1062"/>
      <c r="L67" s="1550"/>
      <c r="M67" s="1550"/>
      <c r="N67" s="1062"/>
      <c r="O67" s="1062"/>
      <c r="P67" s="1062"/>
      <c r="Q67" s="1062"/>
      <c r="R67" s="1550"/>
      <c r="S67" s="1062"/>
      <c r="T67" s="1062"/>
      <c r="U67" s="468"/>
      <c r="V67" s="1062"/>
      <c r="W67" s="1062"/>
      <c r="X67" s="1062"/>
      <c r="Y67" s="1062"/>
      <c r="Z67" s="1062"/>
      <c r="AA67" s="1546"/>
      <c r="AB67" s="490"/>
      <c r="AC67" s="490"/>
      <c r="AD67" s="490"/>
      <c r="AE67" s="490"/>
    </row>
    <row r="68" spans="1:31" s="1907" customFormat="1" ht="11.25" customHeight="1">
      <c r="A68" s="897"/>
      <c r="B68" s="1550"/>
      <c r="C68" s="1550"/>
      <c r="D68" s="275"/>
      <c r="K68" s="1062"/>
      <c r="L68" s="1550"/>
      <c r="M68" s="1550"/>
      <c r="N68" s="1062"/>
      <c r="O68" s="1062"/>
      <c r="P68" s="1062"/>
      <c r="Q68" s="1062"/>
      <c r="R68" s="1550"/>
      <c r="S68" s="1062"/>
      <c r="T68" s="1062"/>
      <c r="U68" s="468"/>
      <c r="V68" s="1062"/>
      <c r="W68" s="1062"/>
      <c r="X68" s="1062"/>
      <c r="Y68" s="1062"/>
      <c r="Z68" s="1062"/>
      <c r="AA68" s="1546"/>
      <c r="AB68" s="490"/>
      <c r="AC68" s="490"/>
      <c r="AD68" s="490"/>
      <c r="AE68" s="490"/>
    </row>
    <row r="69" spans="1:31" s="1907" customFormat="1" ht="11.25" customHeight="1">
      <c r="A69" s="897"/>
      <c r="B69" s="1550"/>
      <c r="C69" s="1550"/>
      <c r="D69" s="275"/>
      <c r="K69" s="1062"/>
      <c r="L69" s="1550"/>
      <c r="M69" s="1550"/>
      <c r="N69" s="1062"/>
      <c r="O69" s="1062"/>
      <c r="P69" s="1062"/>
      <c r="Q69" s="1062"/>
      <c r="R69" s="1550"/>
      <c r="S69" s="1062"/>
      <c r="T69" s="1062"/>
      <c r="U69" s="468"/>
      <c r="V69" s="1062"/>
      <c r="W69" s="1062"/>
      <c r="X69" s="1062"/>
      <c r="Y69" s="1062"/>
      <c r="Z69" s="1062"/>
      <c r="AA69" s="1546"/>
      <c r="AB69" s="490"/>
      <c r="AC69" s="490"/>
      <c r="AD69" s="490"/>
      <c r="AE69" s="490"/>
    </row>
    <row r="70" spans="1:31" s="1907" customFormat="1" ht="11.25" customHeight="1">
      <c r="A70" s="897"/>
      <c r="B70" s="1550"/>
      <c r="C70" s="1550"/>
      <c r="D70" s="275"/>
      <c r="K70" s="1062"/>
      <c r="L70" s="1550"/>
      <c r="M70" s="1550"/>
      <c r="N70" s="1062"/>
      <c r="O70" s="1062"/>
      <c r="P70" s="1062"/>
      <c r="Q70" s="1062"/>
      <c r="R70" s="1550"/>
      <c r="S70" s="1062"/>
      <c r="T70" s="1062"/>
      <c r="U70" s="468"/>
      <c r="V70" s="1062"/>
      <c r="W70" s="1062"/>
      <c r="X70" s="1062"/>
      <c r="Y70" s="1062"/>
      <c r="Z70" s="1062"/>
      <c r="AA70" s="1546"/>
      <c r="AB70" s="490"/>
      <c r="AC70" s="490"/>
      <c r="AD70" s="490"/>
      <c r="AE70" s="490"/>
    </row>
    <row r="71" spans="1:31" s="1907" customFormat="1" ht="11.25" customHeight="1">
      <c r="A71" s="897"/>
      <c r="B71" s="1550"/>
      <c r="C71" s="1550"/>
      <c r="D71" s="275"/>
      <c r="K71" s="1062"/>
      <c r="L71" s="1550"/>
      <c r="M71" s="1550"/>
      <c r="N71" s="1062"/>
      <c r="O71" s="1062"/>
      <c r="P71" s="1062"/>
      <c r="Q71" s="1062"/>
      <c r="R71" s="1550"/>
      <c r="S71" s="1062"/>
      <c r="T71" s="1062"/>
      <c r="U71" s="468"/>
      <c r="V71" s="1062"/>
      <c r="W71" s="1062"/>
      <c r="X71" s="1062"/>
      <c r="Y71" s="1062"/>
      <c r="Z71" s="1062"/>
      <c r="AA71" s="1546"/>
      <c r="AB71" s="490"/>
      <c r="AC71" s="490"/>
      <c r="AD71" s="490"/>
      <c r="AE71" s="490"/>
    </row>
    <row r="72" spans="1:31" s="1907" customFormat="1" ht="11.25" customHeight="1">
      <c r="A72" s="897"/>
      <c r="B72" s="1550"/>
      <c r="C72" s="1550"/>
      <c r="D72" s="275"/>
      <c r="K72" s="1062"/>
      <c r="L72" s="1550"/>
      <c r="M72" s="1550"/>
      <c r="N72" s="1062"/>
      <c r="O72" s="1062"/>
      <c r="P72" s="1062"/>
      <c r="Q72" s="1062"/>
      <c r="R72" s="1550"/>
      <c r="S72" s="1062"/>
      <c r="T72" s="1062"/>
      <c r="U72" s="468"/>
      <c r="V72" s="1062"/>
      <c r="W72" s="1062"/>
      <c r="X72" s="1062"/>
      <c r="Y72" s="1062"/>
      <c r="Z72" s="1062"/>
      <c r="AA72" s="1546"/>
      <c r="AB72" s="490"/>
      <c r="AC72" s="490"/>
      <c r="AD72" s="490"/>
      <c r="AE72" s="490"/>
    </row>
    <row r="73" spans="1:31" s="1907" customFormat="1" ht="11.25" customHeight="1">
      <c r="A73" s="897"/>
      <c r="B73" s="1550"/>
      <c r="C73" s="1550"/>
      <c r="D73" s="275"/>
      <c r="K73" s="1062"/>
      <c r="L73" s="1550"/>
      <c r="M73" s="1550"/>
      <c r="N73" s="1062"/>
      <c r="O73" s="1062"/>
      <c r="P73" s="1062"/>
      <c r="Q73" s="1062"/>
      <c r="R73" s="1550"/>
      <c r="S73" s="1062"/>
      <c r="T73" s="1062"/>
      <c r="U73" s="468"/>
      <c r="V73" s="1062"/>
      <c r="W73" s="1062"/>
      <c r="X73" s="1062"/>
      <c r="Y73" s="1062"/>
      <c r="Z73" s="1062"/>
      <c r="AA73" s="1546"/>
      <c r="AB73" s="490"/>
      <c r="AC73" s="490"/>
      <c r="AD73" s="490"/>
      <c r="AE73" s="490"/>
    </row>
    <row r="74" spans="1:31" s="1907" customFormat="1" ht="11.25" customHeight="1">
      <c r="A74" s="897"/>
      <c r="B74" s="1550"/>
      <c r="C74" s="1550"/>
      <c r="D74" s="275"/>
      <c r="K74" s="1062"/>
      <c r="L74" s="1550"/>
      <c r="M74" s="1550"/>
      <c r="N74" s="1062"/>
      <c r="O74" s="1062"/>
      <c r="P74" s="1062"/>
      <c r="Q74" s="1062"/>
      <c r="R74" s="1550"/>
      <c r="S74" s="1062"/>
      <c r="T74" s="1062"/>
      <c r="U74" s="468"/>
      <c r="V74" s="1062"/>
      <c r="W74" s="1062"/>
      <c r="X74" s="1062"/>
      <c r="Y74" s="1062"/>
      <c r="Z74" s="1062"/>
      <c r="AA74" s="1546"/>
      <c r="AB74" s="490"/>
      <c r="AC74" s="490"/>
      <c r="AD74" s="490"/>
      <c r="AE74" s="490"/>
    </row>
    <row r="75" spans="1:31" s="1907" customFormat="1" ht="11.25" customHeight="1">
      <c r="A75" s="897"/>
      <c r="B75" s="1550"/>
      <c r="C75" s="1550"/>
      <c r="D75" s="275"/>
      <c r="K75" s="1062"/>
      <c r="L75" s="1550"/>
      <c r="M75" s="1550"/>
      <c r="N75" s="1062"/>
      <c r="O75" s="1062"/>
      <c r="P75" s="1062"/>
      <c r="Q75" s="1062"/>
      <c r="R75" s="1550"/>
      <c r="S75" s="1062"/>
      <c r="T75" s="1062"/>
      <c r="U75" s="468"/>
      <c r="V75" s="1062"/>
      <c r="W75" s="1062"/>
      <c r="X75" s="1062"/>
      <c r="Y75" s="1062"/>
      <c r="Z75" s="1062"/>
      <c r="AA75" s="1546"/>
      <c r="AB75" s="490"/>
      <c r="AC75" s="490"/>
      <c r="AD75" s="490"/>
      <c r="AE75" s="490"/>
    </row>
    <row r="76" spans="1:31" s="1907" customFormat="1" ht="11.25" customHeight="1">
      <c r="A76" s="897"/>
      <c r="B76" s="1550"/>
      <c r="C76" s="1550"/>
      <c r="D76" s="275"/>
      <c r="K76" s="1062"/>
      <c r="L76" s="1550"/>
      <c r="M76" s="1550"/>
      <c r="N76" s="1062"/>
      <c r="O76" s="1062"/>
      <c r="P76" s="1062"/>
      <c r="Q76" s="1062"/>
      <c r="R76" s="1550"/>
      <c r="S76" s="1062"/>
      <c r="T76" s="1062"/>
      <c r="U76" s="468"/>
      <c r="V76" s="1062"/>
      <c r="W76" s="1062"/>
      <c r="X76" s="1062"/>
      <c r="Y76" s="1062"/>
      <c r="Z76" s="1062"/>
      <c r="AA76" s="1546"/>
      <c r="AB76" s="490"/>
      <c r="AC76" s="490"/>
      <c r="AD76" s="490"/>
      <c r="AE76" s="490"/>
    </row>
    <row r="77" spans="1:31" s="1907" customFormat="1" ht="11.25" customHeight="1">
      <c r="A77" s="897"/>
      <c r="B77" s="1550"/>
      <c r="C77" s="1550"/>
      <c r="D77" s="275"/>
      <c r="K77" s="1062"/>
      <c r="L77" s="1550"/>
      <c r="M77" s="1550"/>
      <c r="N77" s="1062"/>
      <c r="O77" s="1062"/>
      <c r="P77" s="1062"/>
      <c r="Q77" s="1062"/>
      <c r="R77" s="1550"/>
      <c r="S77" s="1062"/>
      <c r="T77" s="1062"/>
      <c r="U77" s="468"/>
      <c r="V77" s="1062"/>
      <c r="W77" s="1062"/>
      <c r="X77" s="1062"/>
      <c r="Y77" s="1062"/>
      <c r="Z77" s="1062"/>
      <c r="AA77" s="1546"/>
      <c r="AB77" s="490"/>
      <c r="AC77" s="490"/>
      <c r="AD77" s="490"/>
      <c r="AE77" s="490"/>
    </row>
    <row r="78" spans="1:31" s="1907" customFormat="1" ht="11.25" customHeight="1">
      <c r="A78" s="897"/>
      <c r="B78" s="1550"/>
      <c r="C78" s="1550"/>
      <c r="D78" s="275"/>
      <c r="K78" s="1062"/>
      <c r="L78" s="1550"/>
      <c r="M78" s="1550"/>
      <c r="N78" s="1062"/>
      <c r="O78" s="1062"/>
      <c r="P78" s="1062"/>
      <c r="Q78" s="1062"/>
      <c r="R78" s="1550"/>
      <c r="S78" s="1062"/>
      <c r="T78" s="1062"/>
      <c r="U78" s="468"/>
      <c r="V78" s="1062"/>
      <c r="W78" s="1062"/>
      <c r="X78" s="1062"/>
      <c r="Y78" s="1062"/>
      <c r="Z78" s="1062"/>
      <c r="AA78" s="1546"/>
      <c r="AB78" s="490"/>
      <c r="AC78" s="490"/>
      <c r="AD78" s="490"/>
      <c r="AE78" s="490"/>
    </row>
    <row r="79" spans="1:31" s="1907" customFormat="1" ht="11.25" customHeight="1">
      <c r="A79" s="897"/>
      <c r="B79" s="1550"/>
      <c r="C79" s="1550"/>
      <c r="D79" s="275"/>
      <c r="K79" s="1062"/>
      <c r="L79" s="1550"/>
      <c r="M79" s="1550"/>
      <c r="N79" s="1062"/>
      <c r="O79" s="1062"/>
      <c r="P79" s="1062"/>
      <c r="Q79" s="1062"/>
      <c r="R79" s="1550"/>
      <c r="S79" s="1062"/>
      <c r="T79" s="1062"/>
      <c r="U79" s="468"/>
      <c r="V79" s="1062"/>
      <c r="W79" s="1062"/>
      <c r="X79" s="1062"/>
      <c r="Y79" s="1062"/>
      <c r="Z79" s="1062"/>
      <c r="AA79" s="1546"/>
      <c r="AB79" s="490"/>
      <c r="AC79" s="490"/>
      <c r="AD79" s="490"/>
      <c r="AE79" s="490"/>
    </row>
    <row r="80" spans="1:31" s="1907" customFormat="1" ht="11.25" customHeight="1">
      <c r="A80" s="897"/>
      <c r="B80" s="1550"/>
      <c r="C80" s="1550"/>
      <c r="D80" s="275"/>
      <c r="K80" s="1062"/>
      <c r="L80" s="1550"/>
      <c r="M80" s="1550"/>
      <c r="N80" s="1062"/>
      <c r="O80" s="1062"/>
      <c r="P80" s="1062"/>
      <c r="Q80" s="1062"/>
      <c r="R80" s="1550"/>
      <c r="S80" s="1062"/>
      <c r="T80" s="1062"/>
      <c r="U80" s="468"/>
      <c r="V80" s="1062"/>
      <c r="W80" s="1062"/>
      <c r="X80" s="1062"/>
      <c r="Y80" s="1062"/>
      <c r="Z80" s="1062"/>
      <c r="AA80" s="1546"/>
      <c r="AB80" s="490"/>
      <c r="AC80" s="490"/>
      <c r="AD80" s="490"/>
      <c r="AE80" s="490"/>
    </row>
    <row r="81" spans="1:31" s="1907" customFormat="1" ht="11.25" customHeight="1">
      <c r="A81" s="897"/>
      <c r="B81" s="1550"/>
      <c r="C81" s="1550"/>
      <c r="D81" s="275"/>
      <c r="K81" s="1062"/>
      <c r="L81" s="1550"/>
      <c r="M81" s="1550"/>
      <c r="N81" s="1062"/>
      <c r="O81" s="1062"/>
      <c r="P81" s="1062"/>
      <c r="Q81" s="1062"/>
      <c r="R81" s="1550"/>
      <c r="S81" s="1062"/>
      <c r="T81" s="1062"/>
      <c r="U81" s="468"/>
      <c r="V81" s="1062"/>
      <c r="W81" s="1062"/>
      <c r="X81" s="1062"/>
      <c r="Y81" s="1062"/>
      <c r="Z81" s="1062"/>
      <c r="AA81" s="1546"/>
      <c r="AB81" s="490"/>
      <c r="AC81" s="490"/>
      <c r="AD81" s="490"/>
      <c r="AE81" s="490"/>
    </row>
    <row r="82" spans="1:31" s="1907" customFormat="1" ht="11.25" customHeight="1">
      <c r="A82" s="897"/>
      <c r="B82" s="1550"/>
      <c r="C82" s="1550"/>
      <c r="D82" s="275"/>
      <c r="K82" s="1062"/>
      <c r="L82" s="1550"/>
      <c r="M82" s="1550"/>
      <c r="N82" s="1062"/>
      <c r="O82" s="1062"/>
      <c r="P82" s="1062"/>
      <c r="Q82" s="1062"/>
      <c r="R82" s="1550"/>
      <c r="S82" s="1062"/>
      <c r="T82" s="1062"/>
      <c r="U82" s="468"/>
      <c r="V82" s="1062"/>
      <c r="W82" s="1062"/>
      <c r="X82" s="1062"/>
      <c r="Y82" s="1062"/>
      <c r="Z82" s="1062"/>
      <c r="AA82" s="1546"/>
      <c r="AB82" s="490"/>
      <c r="AC82" s="490"/>
      <c r="AD82" s="490"/>
      <c r="AE82" s="490"/>
    </row>
    <row r="83" spans="1:31" s="1907" customFormat="1" ht="11.25" customHeight="1">
      <c r="A83" s="897"/>
      <c r="B83" s="1550"/>
      <c r="C83" s="1550"/>
      <c r="D83" s="275"/>
      <c r="K83" s="1062"/>
      <c r="L83" s="1550"/>
      <c r="M83" s="1550"/>
      <c r="N83" s="1062"/>
      <c r="O83" s="1062"/>
      <c r="P83" s="1062"/>
      <c r="Q83" s="1062"/>
      <c r="R83" s="1550"/>
      <c r="S83" s="1062"/>
      <c r="T83" s="1062"/>
      <c r="U83" s="468"/>
      <c r="V83" s="1062"/>
      <c r="W83" s="1062"/>
      <c r="X83" s="1062"/>
      <c r="Y83" s="1062"/>
      <c r="Z83" s="1062"/>
      <c r="AA83" s="1546"/>
      <c r="AB83" s="490"/>
      <c r="AC83" s="490"/>
      <c r="AD83" s="490"/>
      <c r="AE83" s="490"/>
    </row>
    <row r="84" spans="1:31" s="1907" customFormat="1" ht="11.25" customHeight="1">
      <c r="A84" s="897"/>
      <c r="B84" s="1550"/>
      <c r="C84" s="1550"/>
      <c r="D84" s="275"/>
      <c r="K84" s="1062"/>
      <c r="L84" s="1550"/>
      <c r="M84" s="1550"/>
      <c r="N84" s="1062"/>
      <c r="O84" s="1062"/>
      <c r="P84" s="1062"/>
      <c r="Q84" s="1062"/>
      <c r="R84" s="1550"/>
      <c r="S84" s="1062"/>
      <c r="T84" s="1062"/>
      <c r="U84" s="468"/>
      <c r="V84" s="1062"/>
      <c r="W84" s="1062"/>
      <c r="X84" s="1062"/>
      <c r="Y84" s="1062"/>
      <c r="Z84" s="1062"/>
      <c r="AA84" s="1546"/>
      <c r="AB84" s="490"/>
      <c r="AC84" s="490"/>
      <c r="AD84" s="490"/>
      <c r="AE84" s="490"/>
    </row>
    <row r="85" spans="1:31" s="1907" customFormat="1" ht="11.25" customHeight="1">
      <c r="A85" s="897"/>
      <c r="B85" s="1550"/>
      <c r="C85" s="1550"/>
      <c r="D85" s="275"/>
      <c r="K85" s="1062"/>
      <c r="L85" s="1550"/>
      <c r="M85" s="1550"/>
      <c r="N85" s="1062"/>
      <c r="O85" s="1062"/>
      <c r="P85" s="1062"/>
      <c r="Q85" s="1062"/>
      <c r="R85" s="1550"/>
      <c r="S85" s="1062"/>
      <c r="T85" s="1062"/>
      <c r="U85" s="468"/>
      <c r="V85" s="1062"/>
      <c r="W85" s="1062"/>
      <c r="X85" s="1062"/>
      <c r="Y85" s="1062"/>
      <c r="Z85" s="1062"/>
      <c r="AA85" s="1546"/>
      <c r="AB85" s="490"/>
      <c r="AC85" s="490"/>
      <c r="AD85" s="490"/>
      <c r="AE85" s="490"/>
    </row>
    <row r="86" spans="1:31" s="1907" customFormat="1" ht="11.25" customHeight="1">
      <c r="A86" s="897"/>
      <c r="B86" s="1550"/>
      <c r="C86" s="1550"/>
      <c r="D86" s="275"/>
      <c r="K86" s="1062"/>
      <c r="L86" s="1550"/>
      <c r="M86" s="1550"/>
      <c r="N86" s="1062"/>
      <c r="O86" s="1062"/>
      <c r="P86" s="1062"/>
      <c r="Q86" s="1062"/>
      <c r="R86" s="1550"/>
      <c r="S86" s="1062"/>
      <c r="T86" s="1062"/>
      <c r="U86" s="468"/>
      <c r="V86" s="1062"/>
      <c r="W86" s="1062"/>
      <c r="X86" s="1062"/>
      <c r="Y86" s="1062"/>
      <c r="Z86" s="1062"/>
      <c r="AA86" s="1546"/>
      <c r="AB86" s="490"/>
      <c r="AC86" s="490"/>
      <c r="AD86" s="490"/>
      <c r="AE86" s="490"/>
    </row>
    <row r="87" spans="1:31" s="1907" customFormat="1" ht="11.25" customHeight="1">
      <c r="A87" s="897"/>
      <c r="B87" s="1550"/>
      <c r="C87" s="1550"/>
      <c r="D87" s="275"/>
      <c r="K87" s="1062"/>
      <c r="L87" s="1550"/>
      <c r="M87" s="1550"/>
      <c r="N87" s="1062"/>
      <c r="O87" s="1062"/>
      <c r="P87" s="1062"/>
      <c r="Q87" s="1062"/>
      <c r="R87" s="1550"/>
      <c r="S87" s="1062"/>
      <c r="T87" s="1062"/>
      <c r="U87" s="468"/>
      <c r="V87" s="1062"/>
      <c r="W87" s="1062"/>
      <c r="X87" s="1062"/>
      <c r="Y87" s="1062"/>
      <c r="Z87" s="1062"/>
      <c r="AA87" s="1546"/>
      <c r="AB87" s="490"/>
      <c r="AC87" s="490"/>
      <c r="AD87" s="490"/>
      <c r="AE87" s="490"/>
    </row>
    <row r="88" spans="1:31" s="1907" customFormat="1" ht="11.25" customHeight="1">
      <c r="A88" s="897"/>
      <c r="B88" s="1550"/>
      <c r="C88" s="1550"/>
      <c r="D88" s="275"/>
      <c r="K88" s="1062"/>
      <c r="L88" s="1550"/>
      <c r="M88" s="1550"/>
      <c r="N88" s="1062"/>
      <c r="O88" s="1062"/>
      <c r="P88" s="1062"/>
      <c r="Q88" s="1062"/>
      <c r="R88" s="1550"/>
      <c r="S88" s="1062"/>
      <c r="T88" s="1062"/>
      <c r="U88" s="468"/>
      <c r="V88" s="1062"/>
      <c r="W88" s="1062"/>
      <c r="X88" s="1062"/>
      <c r="Y88" s="1062"/>
      <c r="Z88" s="1062"/>
      <c r="AA88" s="1546"/>
      <c r="AB88" s="490"/>
      <c r="AC88" s="490"/>
      <c r="AD88" s="490"/>
      <c r="AE88" s="490"/>
    </row>
    <row r="89" spans="1:31" s="1907" customFormat="1" ht="11.25" customHeight="1">
      <c r="A89" s="897"/>
      <c r="B89" s="1550"/>
      <c r="C89" s="1550"/>
      <c r="D89" s="275"/>
      <c r="K89" s="1062"/>
      <c r="L89" s="1550"/>
      <c r="M89" s="1550"/>
      <c r="N89" s="1062"/>
      <c r="O89" s="1062"/>
      <c r="P89" s="1062"/>
      <c r="Q89" s="1062"/>
      <c r="R89" s="1550"/>
      <c r="S89" s="1062"/>
      <c r="T89" s="1062"/>
      <c r="U89" s="468"/>
      <c r="V89" s="1062"/>
      <c r="W89" s="1062"/>
      <c r="X89" s="1062"/>
      <c r="Y89" s="1062"/>
      <c r="Z89" s="1062"/>
      <c r="AA89" s="1546"/>
      <c r="AB89" s="490"/>
      <c r="AC89" s="490"/>
      <c r="AD89" s="490"/>
      <c r="AE89" s="490"/>
    </row>
    <row r="90" spans="1:31" s="1907" customFormat="1" ht="11.25" customHeight="1">
      <c r="A90" s="897"/>
      <c r="B90" s="1550"/>
      <c r="C90" s="1550"/>
      <c r="D90" s="275"/>
      <c r="K90" s="1062"/>
      <c r="L90" s="1550"/>
      <c r="M90" s="1550"/>
      <c r="N90" s="1062"/>
      <c r="O90" s="1062"/>
      <c r="P90" s="1062"/>
      <c r="Q90" s="1062"/>
      <c r="R90" s="1550"/>
      <c r="S90" s="1062"/>
      <c r="T90" s="1062"/>
      <c r="U90" s="468"/>
      <c r="V90" s="1062"/>
      <c r="W90" s="1062"/>
      <c r="X90" s="1062"/>
      <c r="Y90" s="1062"/>
      <c r="Z90" s="1062"/>
      <c r="AA90" s="1546"/>
      <c r="AB90" s="490"/>
      <c r="AC90" s="490"/>
      <c r="AD90" s="490"/>
      <c r="AE90" s="490"/>
    </row>
    <row r="91" spans="1:31" s="1907" customFormat="1" ht="11.25" customHeight="1">
      <c r="A91" s="897"/>
      <c r="B91" s="1550"/>
      <c r="C91" s="1550"/>
      <c r="D91" s="275"/>
      <c r="K91" s="1062"/>
      <c r="L91" s="1550"/>
      <c r="M91" s="1550"/>
      <c r="N91" s="1062"/>
      <c r="O91" s="1062"/>
      <c r="P91" s="1062"/>
      <c r="Q91" s="1062"/>
      <c r="R91" s="1550"/>
      <c r="S91" s="1062"/>
      <c r="T91" s="1062"/>
      <c r="U91" s="468"/>
      <c r="V91" s="1062"/>
      <c r="W91" s="1062"/>
      <c r="X91" s="1062"/>
      <c r="Y91" s="1062"/>
      <c r="Z91" s="1062"/>
      <c r="AA91" s="1546"/>
      <c r="AB91" s="490"/>
      <c r="AC91" s="490"/>
      <c r="AD91" s="490"/>
      <c r="AE91" s="490"/>
    </row>
    <row r="92" spans="1:31" s="1907" customFormat="1" ht="11.25" customHeight="1">
      <c r="A92" s="897"/>
      <c r="B92" s="1550"/>
      <c r="C92" s="1550"/>
      <c r="D92" s="275"/>
      <c r="K92" s="1062"/>
      <c r="L92" s="1550"/>
      <c r="M92" s="1550"/>
      <c r="N92" s="1062"/>
      <c r="O92" s="1062"/>
      <c r="P92" s="1062"/>
      <c r="Q92" s="1062"/>
      <c r="R92" s="1550"/>
      <c r="S92" s="1062"/>
      <c r="T92" s="1062"/>
      <c r="U92" s="468"/>
      <c r="V92" s="1062"/>
      <c r="W92" s="1062"/>
      <c r="X92" s="1062"/>
      <c r="Y92" s="1062"/>
      <c r="Z92" s="1062"/>
      <c r="AA92" s="1546"/>
      <c r="AB92" s="490"/>
      <c r="AC92" s="490"/>
      <c r="AD92" s="490"/>
      <c r="AE92" s="490"/>
    </row>
    <row r="93" spans="1:31" s="1907" customFormat="1" ht="11.25" customHeight="1">
      <c r="A93" s="897"/>
      <c r="B93" s="1550"/>
      <c r="C93" s="1550"/>
      <c r="D93" s="275"/>
      <c r="K93" s="1062"/>
      <c r="L93" s="1550"/>
      <c r="M93" s="1550"/>
      <c r="N93" s="1062"/>
      <c r="O93" s="1062"/>
      <c r="P93" s="1062"/>
      <c r="Q93" s="1062"/>
      <c r="R93" s="1550"/>
      <c r="S93" s="1062"/>
      <c r="T93" s="1062"/>
      <c r="U93" s="468"/>
      <c r="V93" s="1062"/>
      <c r="W93" s="1062"/>
      <c r="X93" s="1062"/>
      <c r="Y93" s="1062"/>
      <c r="Z93" s="1062"/>
      <c r="AA93" s="1546"/>
      <c r="AB93" s="490"/>
      <c r="AC93" s="490"/>
      <c r="AD93" s="490"/>
      <c r="AE93" s="490"/>
    </row>
    <row r="94" spans="1:31" s="1907" customFormat="1" ht="11.25" customHeight="1">
      <c r="A94" s="897"/>
      <c r="B94" s="1550"/>
      <c r="C94" s="1550"/>
      <c r="D94" s="275"/>
      <c r="K94" s="1062"/>
      <c r="L94" s="1550"/>
      <c r="M94" s="1550"/>
      <c r="N94" s="1062"/>
      <c r="O94" s="1062"/>
      <c r="P94" s="1062"/>
      <c r="Q94" s="1062"/>
      <c r="R94" s="1550"/>
      <c r="S94" s="1062"/>
      <c r="T94" s="1062"/>
      <c r="U94" s="468"/>
      <c r="V94" s="1062"/>
      <c r="W94" s="1062"/>
      <c r="X94" s="1062"/>
      <c r="Y94" s="1062"/>
      <c r="Z94" s="1062"/>
      <c r="AA94" s="1546"/>
      <c r="AB94" s="490"/>
      <c r="AC94" s="490"/>
      <c r="AD94" s="490"/>
      <c r="AE94" s="490"/>
    </row>
    <row r="95" spans="1:31" s="1907" customFormat="1" ht="11.25" customHeight="1">
      <c r="A95" s="897"/>
      <c r="B95" s="1550"/>
      <c r="C95" s="1550"/>
      <c r="D95" s="275"/>
      <c r="K95" s="1062"/>
      <c r="L95" s="1550"/>
      <c r="M95" s="1550"/>
      <c r="N95" s="1062"/>
      <c r="O95" s="1062"/>
      <c r="P95" s="1062"/>
      <c r="Q95" s="1062"/>
      <c r="R95" s="1550"/>
      <c r="S95" s="1062"/>
      <c r="T95" s="1062"/>
      <c r="U95" s="468"/>
      <c r="V95" s="1062"/>
      <c r="W95" s="1062"/>
      <c r="X95" s="1062"/>
      <c r="Y95" s="1062"/>
      <c r="Z95" s="1062"/>
      <c r="AA95" s="1546"/>
      <c r="AB95" s="490"/>
      <c r="AC95" s="490"/>
      <c r="AD95" s="490"/>
      <c r="AE95" s="490"/>
    </row>
    <row r="96" spans="1:31" s="1907" customFormat="1" ht="11.25" customHeight="1">
      <c r="A96" s="897"/>
      <c r="B96" s="1550"/>
      <c r="C96" s="1550"/>
      <c r="D96" s="275"/>
      <c r="K96" s="1062"/>
      <c r="L96" s="1550"/>
      <c r="M96" s="1550"/>
      <c r="N96" s="1062"/>
      <c r="O96" s="1062"/>
      <c r="P96" s="1062"/>
      <c r="Q96" s="1062"/>
      <c r="R96" s="1550"/>
      <c r="S96" s="1062"/>
      <c r="T96" s="1062"/>
      <c r="U96" s="468"/>
      <c r="V96" s="1062"/>
      <c r="W96" s="1062"/>
      <c r="X96" s="1062"/>
      <c r="Y96" s="1062"/>
      <c r="Z96" s="1062"/>
      <c r="AA96" s="1546"/>
      <c r="AB96" s="490"/>
      <c r="AC96" s="490"/>
      <c r="AD96" s="490"/>
      <c r="AE96" s="490"/>
    </row>
    <row r="97" spans="1:31" s="1907" customFormat="1" ht="11.25" customHeight="1">
      <c r="A97" s="897"/>
      <c r="B97" s="1550"/>
      <c r="C97" s="1550"/>
      <c r="D97" s="275"/>
      <c r="K97" s="1062"/>
      <c r="L97" s="1550"/>
      <c r="M97" s="1550"/>
      <c r="N97" s="1062"/>
      <c r="O97" s="1062"/>
      <c r="P97" s="1062"/>
      <c r="Q97" s="1062"/>
      <c r="R97" s="1550"/>
      <c r="S97" s="1062"/>
      <c r="T97" s="1062"/>
      <c r="U97" s="468"/>
      <c r="V97" s="1062"/>
      <c r="W97" s="1062"/>
      <c r="X97" s="1062"/>
      <c r="Y97" s="1062"/>
      <c r="Z97" s="1062"/>
      <c r="AA97" s="1546"/>
      <c r="AB97" s="490"/>
      <c r="AC97" s="490"/>
      <c r="AD97" s="490"/>
      <c r="AE97" s="490"/>
    </row>
    <row r="98" spans="1:31" s="1907" customFormat="1" ht="11.25" customHeight="1">
      <c r="A98" s="897"/>
      <c r="B98" s="1550"/>
      <c r="C98" s="1550"/>
      <c r="D98" s="275"/>
      <c r="K98" s="1062"/>
      <c r="L98" s="1550"/>
      <c r="M98" s="1550"/>
      <c r="N98" s="1062"/>
      <c r="O98" s="1062"/>
      <c r="P98" s="1062"/>
      <c r="Q98" s="1062"/>
      <c r="R98" s="1550"/>
      <c r="S98" s="1062"/>
      <c r="T98" s="1062"/>
      <c r="U98" s="468"/>
      <c r="V98" s="1062"/>
      <c r="W98" s="1062"/>
      <c r="X98" s="1062"/>
      <c r="Y98" s="1062"/>
      <c r="Z98" s="1062"/>
      <c r="AA98" s="1546"/>
      <c r="AB98" s="490"/>
      <c r="AC98" s="490"/>
      <c r="AD98" s="490"/>
      <c r="AE98" s="490"/>
    </row>
    <row r="99" spans="1:31" s="1907" customFormat="1" ht="11.25" customHeight="1">
      <c r="A99" s="897"/>
      <c r="B99" s="1550"/>
      <c r="C99" s="1550"/>
      <c r="D99" s="275"/>
      <c r="K99" s="1062"/>
      <c r="L99" s="1550"/>
      <c r="M99" s="1550"/>
      <c r="N99" s="1062"/>
      <c r="O99" s="1062"/>
      <c r="P99" s="1062"/>
      <c r="Q99" s="1062"/>
      <c r="R99" s="1550"/>
      <c r="S99" s="1062"/>
      <c r="T99" s="1062"/>
      <c r="U99" s="468"/>
      <c r="V99" s="1062"/>
      <c r="W99" s="1062"/>
      <c r="X99" s="1062"/>
      <c r="Y99" s="1062"/>
      <c r="Z99" s="1062"/>
      <c r="AA99" s="1546"/>
      <c r="AB99" s="490"/>
      <c r="AC99" s="490"/>
      <c r="AD99" s="490"/>
      <c r="AE99" s="490"/>
    </row>
    <row r="100" spans="1:31" s="1907" customFormat="1" ht="11.25" customHeight="1">
      <c r="A100" s="897"/>
      <c r="B100" s="1550"/>
      <c r="C100" s="1550"/>
      <c r="D100" s="275"/>
      <c r="K100" s="1062"/>
      <c r="L100" s="1550"/>
      <c r="M100" s="1550"/>
      <c r="N100" s="1062"/>
      <c r="O100" s="1062"/>
      <c r="P100" s="1062"/>
      <c r="Q100" s="1062"/>
      <c r="R100" s="1550"/>
      <c r="S100" s="1062"/>
      <c r="T100" s="1062"/>
      <c r="U100" s="468"/>
      <c r="V100" s="1062"/>
      <c r="W100" s="1062"/>
      <c r="X100" s="1062"/>
      <c r="Y100" s="1062"/>
      <c r="Z100" s="1062"/>
      <c r="AA100" s="1546"/>
      <c r="AB100" s="490"/>
      <c r="AC100" s="490"/>
      <c r="AD100" s="490"/>
      <c r="AE100" s="490"/>
    </row>
    <row r="101" spans="1:31" s="1907" customFormat="1" ht="11.25" customHeight="1">
      <c r="A101" s="897"/>
      <c r="B101" s="1550"/>
      <c r="C101" s="1550"/>
      <c r="D101" s="275"/>
      <c r="K101" s="1062"/>
      <c r="L101" s="1550"/>
      <c r="M101" s="1550"/>
      <c r="N101" s="1062"/>
      <c r="O101" s="1062"/>
      <c r="P101" s="1062"/>
      <c r="Q101" s="1062"/>
      <c r="R101" s="1550"/>
      <c r="S101" s="1062"/>
      <c r="T101" s="1062"/>
      <c r="U101" s="468"/>
      <c r="V101" s="1062"/>
      <c r="W101" s="1062"/>
      <c r="X101" s="1062"/>
      <c r="Y101" s="1062"/>
      <c r="Z101" s="1062"/>
      <c r="AA101" s="1546"/>
      <c r="AB101" s="490"/>
      <c r="AC101" s="490"/>
      <c r="AD101" s="490"/>
      <c r="AE101" s="490"/>
    </row>
    <row r="102" spans="1:31" s="1907" customFormat="1" ht="11.25" customHeight="1">
      <c r="A102" s="897"/>
      <c r="B102" s="1550"/>
      <c r="C102" s="1550"/>
      <c r="D102" s="275"/>
      <c r="K102" s="1062"/>
      <c r="L102" s="1550"/>
      <c r="M102" s="1550"/>
      <c r="N102" s="1062"/>
      <c r="O102" s="1062"/>
      <c r="P102" s="1062"/>
      <c r="Q102" s="1062"/>
      <c r="R102" s="1550"/>
      <c r="S102" s="1062"/>
      <c r="T102" s="1062"/>
      <c r="U102" s="468"/>
      <c r="V102" s="1062"/>
      <c r="W102" s="1062"/>
      <c r="X102" s="1062"/>
      <c r="Y102" s="1062"/>
      <c r="Z102" s="1062"/>
      <c r="AA102" s="1546"/>
      <c r="AB102" s="490"/>
      <c r="AC102" s="490"/>
      <c r="AD102" s="490"/>
      <c r="AE102" s="490"/>
    </row>
    <row r="103" spans="1:31" s="1907" customFormat="1" ht="11.25" customHeight="1">
      <c r="A103" s="897"/>
      <c r="B103" s="1550"/>
      <c r="C103" s="1550"/>
      <c r="D103" s="275"/>
      <c r="K103" s="1062"/>
      <c r="L103" s="1550"/>
      <c r="M103" s="1550"/>
      <c r="N103" s="1062"/>
      <c r="O103" s="1062"/>
      <c r="P103" s="1062"/>
      <c r="Q103" s="1062"/>
      <c r="R103" s="1550"/>
      <c r="S103" s="1062"/>
      <c r="T103" s="1062"/>
      <c r="U103" s="468"/>
      <c r="V103" s="1062"/>
      <c r="W103" s="1062"/>
      <c r="X103" s="1062"/>
      <c r="Y103" s="1062"/>
      <c r="Z103" s="1062"/>
      <c r="AA103" s="1546"/>
      <c r="AB103" s="490"/>
      <c r="AC103" s="490"/>
      <c r="AD103" s="490"/>
      <c r="AE103" s="490"/>
    </row>
    <row r="104" spans="1:31" s="1907" customFormat="1" ht="11.25" customHeight="1">
      <c r="A104" s="897"/>
      <c r="B104" s="1550"/>
      <c r="C104" s="1550"/>
      <c r="D104" s="275"/>
      <c r="K104" s="1062"/>
      <c r="L104" s="1550"/>
      <c r="M104" s="1550"/>
      <c r="N104" s="1062"/>
      <c r="O104" s="1062"/>
      <c r="P104" s="1062"/>
      <c r="Q104" s="1062"/>
      <c r="R104" s="1550"/>
      <c r="S104" s="1062"/>
      <c r="T104" s="1062"/>
      <c r="U104" s="468"/>
      <c r="V104" s="1062"/>
      <c r="W104" s="1062"/>
      <c r="X104" s="1062"/>
      <c r="Y104" s="1062"/>
      <c r="Z104" s="1062"/>
      <c r="AA104" s="1546"/>
      <c r="AB104" s="490"/>
      <c r="AC104" s="490"/>
      <c r="AD104" s="490"/>
      <c r="AE104" s="490"/>
    </row>
    <row r="105" spans="1:31" s="1907" customFormat="1" ht="11.25" customHeight="1">
      <c r="A105" s="897"/>
      <c r="B105" s="1550"/>
      <c r="C105" s="1550"/>
      <c r="D105" s="275"/>
      <c r="K105" s="1062"/>
      <c r="L105" s="1550"/>
      <c r="M105" s="1550"/>
      <c r="N105" s="1062"/>
      <c r="O105" s="1062"/>
      <c r="P105" s="1062"/>
      <c r="Q105" s="1062"/>
      <c r="R105" s="1550"/>
      <c r="S105" s="1062"/>
      <c r="T105" s="1062"/>
      <c r="U105" s="468"/>
      <c r="V105" s="1062"/>
      <c r="W105" s="1062"/>
      <c r="X105" s="1062"/>
      <c r="Y105" s="1062"/>
      <c r="Z105" s="1062"/>
      <c r="AA105" s="1546"/>
      <c r="AB105" s="490"/>
      <c r="AC105" s="490"/>
      <c r="AD105" s="490"/>
      <c r="AE105" s="490"/>
    </row>
    <row r="106" spans="1:31" s="1907" customFormat="1" ht="11.25" customHeight="1">
      <c r="A106" s="897"/>
      <c r="B106" s="1550"/>
      <c r="C106" s="1550"/>
      <c r="D106" s="275"/>
      <c r="K106" s="1062"/>
      <c r="L106" s="1550"/>
      <c r="M106" s="1550"/>
      <c r="N106" s="1062"/>
      <c r="O106" s="1062"/>
      <c r="P106" s="1062"/>
      <c r="Q106" s="1062"/>
      <c r="R106" s="1550"/>
      <c r="S106" s="1062"/>
      <c r="T106" s="1062"/>
      <c r="U106" s="468"/>
      <c r="V106" s="1062"/>
      <c r="W106" s="1062"/>
      <c r="X106" s="1062"/>
      <c r="Y106" s="1062"/>
      <c r="Z106" s="1062"/>
      <c r="AA106" s="1546"/>
      <c r="AB106" s="490"/>
      <c r="AC106" s="490"/>
      <c r="AD106" s="490"/>
      <c r="AE106" s="490"/>
    </row>
    <row r="107" spans="1:31" s="1907" customFormat="1" ht="11.25" customHeight="1">
      <c r="A107" s="897"/>
      <c r="B107" s="1550"/>
      <c r="C107" s="1550"/>
      <c r="D107" s="275"/>
      <c r="K107" s="1062"/>
      <c r="L107" s="1550"/>
      <c r="M107" s="1550"/>
      <c r="N107" s="1062"/>
      <c r="O107" s="1062"/>
      <c r="P107" s="1062"/>
      <c r="Q107" s="1062"/>
      <c r="R107" s="1550"/>
      <c r="S107" s="1062"/>
      <c r="T107" s="1062"/>
      <c r="U107" s="468"/>
      <c r="V107" s="1062"/>
      <c r="W107" s="1062"/>
      <c r="X107" s="1062"/>
      <c r="Y107" s="1062"/>
      <c r="Z107" s="1062"/>
      <c r="AA107" s="1546"/>
      <c r="AB107" s="490"/>
      <c r="AC107" s="490"/>
      <c r="AD107" s="490"/>
      <c r="AE107" s="490"/>
    </row>
    <row r="108" spans="1:31" s="1907" customFormat="1" ht="11.25" customHeight="1">
      <c r="A108" s="897"/>
      <c r="B108" s="1550"/>
      <c r="C108" s="1550"/>
      <c r="D108" s="275"/>
      <c r="K108" s="1062"/>
      <c r="L108" s="1550"/>
      <c r="M108" s="1550"/>
      <c r="N108" s="1062"/>
      <c r="O108" s="1062"/>
      <c r="P108" s="1062"/>
      <c r="Q108" s="1062"/>
      <c r="R108" s="1550"/>
      <c r="S108" s="1062"/>
      <c r="T108" s="1062"/>
      <c r="U108" s="468"/>
      <c r="V108" s="1062"/>
      <c r="W108" s="1062"/>
      <c r="X108" s="1062"/>
      <c r="Y108" s="1062"/>
      <c r="Z108" s="1062"/>
      <c r="AA108" s="1546"/>
      <c r="AB108" s="490"/>
      <c r="AC108" s="490"/>
      <c r="AD108" s="490"/>
      <c r="AE108" s="490"/>
    </row>
    <row r="109" spans="1:31" s="1907" customFormat="1" ht="11.25" customHeight="1">
      <c r="A109" s="897"/>
      <c r="B109" s="1550"/>
      <c r="C109" s="1550"/>
      <c r="D109" s="275"/>
      <c r="K109" s="1062"/>
      <c r="L109" s="1550"/>
      <c r="M109" s="1550"/>
      <c r="N109" s="1062"/>
      <c r="O109" s="1062"/>
      <c r="P109" s="1062"/>
      <c r="Q109" s="1062"/>
      <c r="R109" s="1550"/>
      <c r="S109" s="1062"/>
      <c r="T109" s="1062"/>
      <c r="U109" s="468"/>
      <c r="V109" s="1062"/>
      <c r="W109" s="1062"/>
      <c r="X109" s="1062"/>
      <c r="Y109" s="1062"/>
      <c r="Z109" s="1062"/>
      <c r="AA109" s="1546"/>
      <c r="AB109" s="490"/>
      <c r="AC109" s="490"/>
      <c r="AD109" s="490"/>
      <c r="AE109" s="490"/>
    </row>
    <row r="110" spans="1:31" s="1907" customFormat="1" ht="11.25" customHeight="1">
      <c r="A110" s="897"/>
      <c r="B110" s="1550"/>
      <c r="C110" s="1550"/>
      <c r="D110" s="275"/>
      <c r="K110" s="1062"/>
      <c r="L110" s="1550"/>
      <c r="M110" s="1550"/>
      <c r="N110" s="1062"/>
      <c r="O110" s="1062"/>
      <c r="P110" s="1062"/>
      <c r="Q110" s="1062"/>
      <c r="R110" s="1550"/>
      <c r="S110" s="1062"/>
      <c r="T110" s="1062"/>
      <c r="U110" s="468"/>
      <c r="V110" s="1062"/>
      <c r="W110" s="1062"/>
      <c r="X110" s="1062"/>
      <c r="Y110" s="1062"/>
      <c r="Z110" s="1062"/>
      <c r="AA110" s="1546"/>
      <c r="AB110" s="490"/>
      <c r="AC110" s="490"/>
      <c r="AD110" s="490"/>
      <c r="AE110" s="490"/>
    </row>
    <row r="111" spans="1:31" s="1907" customFormat="1" ht="11.25" customHeight="1">
      <c r="A111" s="897"/>
      <c r="B111" s="1550"/>
      <c r="C111" s="1550"/>
      <c r="D111" s="275"/>
      <c r="K111" s="1062"/>
      <c r="L111" s="1550"/>
      <c r="M111" s="1550"/>
      <c r="N111" s="1062"/>
      <c r="O111" s="1062"/>
      <c r="P111" s="1062"/>
      <c r="Q111" s="1062"/>
      <c r="R111" s="1550"/>
      <c r="S111" s="1062"/>
      <c r="T111" s="1062"/>
      <c r="U111" s="468"/>
      <c r="V111" s="1062"/>
      <c r="W111" s="1062"/>
      <c r="X111" s="1062"/>
      <c r="Y111" s="1062"/>
      <c r="Z111" s="1062"/>
      <c r="AA111" s="1546"/>
      <c r="AB111" s="490"/>
      <c r="AC111" s="490"/>
      <c r="AD111" s="490"/>
      <c r="AE111" s="490"/>
    </row>
    <row r="112" spans="1:31" s="1907" customFormat="1" ht="11.25" customHeight="1">
      <c r="A112" s="897"/>
      <c r="B112" s="1550"/>
      <c r="C112" s="1550"/>
      <c r="D112" s="275"/>
      <c r="K112" s="1062"/>
      <c r="L112" s="1550"/>
      <c r="M112" s="1550"/>
      <c r="N112" s="1062"/>
      <c r="O112" s="1062"/>
      <c r="P112" s="1062"/>
      <c r="Q112" s="1062"/>
      <c r="R112" s="1550"/>
      <c r="S112" s="1062"/>
      <c r="T112" s="1062"/>
      <c r="U112" s="468"/>
      <c r="V112" s="1062"/>
      <c r="W112" s="1062"/>
      <c r="X112" s="1062"/>
      <c r="Y112" s="1062"/>
      <c r="Z112" s="1062"/>
      <c r="AA112" s="1546"/>
      <c r="AB112" s="490"/>
      <c r="AC112" s="490"/>
      <c r="AD112" s="490"/>
      <c r="AE112" s="490"/>
    </row>
    <row r="113" spans="1:31" s="1907" customFormat="1" ht="11.25" customHeight="1">
      <c r="A113" s="897"/>
      <c r="B113" s="1550"/>
      <c r="C113" s="1550"/>
      <c r="D113" s="275"/>
      <c r="K113" s="1062"/>
      <c r="L113" s="1550"/>
      <c r="M113" s="1550"/>
      <c r="N113" s="1062"/>
      <c r="O113" s="1062"/>
      <c r="P113" s="1062"/>
      <c r="Q113" s="1062"/>
      <c r="R113" s="1550"/>
      <c r="S113" s="1062"/>
      <c r="T113" s="1062"/>
      <c r="U113" s="468"/>
      <c r="V113" s="1062"/>
      <c r="W113" s="1062"/>
      <c r="X113" s="1062"/>
      <c r="Y113" s="1062"/>
      <c r="Z113" s="1062"/>
      <c r="AA113" s="1546"/>
      <c r="AB113" s="490"/>
      <c r="AC113" s="490"/>
      <c r="AD113" s="490"/>
      <c r="AE113" s="490"/>
    </row>
    <row r="114" spans="1:31" s="1907" customFormat="1" ht="11.25" customHeight="1">
      <c r="A114" s="897"/>
      <c r="B114" s="1550"/>
      <c r="C114" s="1550"/>
      <c r="D114" s="275"/>
      <c r="K114" s="1062"/>
      <c r="L114" s="1550"/>
      <c r="M114" s="1550"/>
      <c r="N114" s="1062"/>
      <c r="O114" s="1062"/>
      <c r="P114" s="1062"/>
      <c r="Q114" s="1062"/>
      <c r="R114" s="1550"/>
      <c r="S114" s="1062"/>
      <c r="T114" s="1062"/>
      <c r="U114" s="468"/>
      <c r="V114" s="1062"/>
      <c r="W114" s="1062"/>
      <c r="X114" s="1062"/>
      <c r="Y114" s="1062"/>
      <c r="Z114" s="1062"/>
      <c r="AA114" s="1546"/>
      <c r="AB114" s="490"/>
      <c r="AC114" s="490"/>
      <c r="AD114" s="490"/>
      <c r="AE114" s="490"/>
    </row>
    <row r="115" spans="1:31" s="1907" customFormat="1" ht="11.25" customHeight="1">
      <c r="A115" s="897"/>
      <c r="B115" s="1550"/>
      <c r="C115" s="1550"/>
      <c r="D115" s="275"/>
      <c r="K115" s="1062"/>
      <c r="L115" s="1550"/>
      <c r="M115" s="1550"/>
      <c r="N115" s="1062"/>
      <c r="O115" s="1062"/>
      <c r="P115" s="1062"/>
      <c r="Q115" s="1062"/>
      <c r="R115" s="1550"/>
      <c r="S115" s="1062"/>
      <c r="T115" s="1062"/>
      <c r="U115" s="468"/>
      <c r="V115" s="1062"/>
      <c r="W115" s="1062"/>
      <c r="X115" s="1062"/>
      <c r="Y115" s="1062"/>
      <c r="Z115" s="1062"/>
      <c r="AA115" s="1546"/>
      <c r="AB115" s="490"/>
      <c r="AC115" s="490"/>
      <c r="AD115" s="490"/>
      <c r="AE115" s="490"/>
    </row>
    <row r="116" spans="1:31" s="1907" customFormat="1" ht="11.25" customHeight="1">
      <c r="A116" s="897"/>
      <c r="B116" s="1550"/>
      <c r="C116" s="1550"/>
      <c r="D116" s="275"/>
      <c r="K116" s="1062"/>
      <c r="L116" s="1550"/>
      <c r="M116" s="1550"/>
      <c r="N116" s="1062"/>
      <c r="O116" s="1062"/>
      <c r="P116" s="1062"/>
      <c r="Q116" s="1062"/>
      <c r="R116" s="1550"/>
      <c r="S116" s="1062"/>
      <c r="T116" s="1062"/>
      <c r="U116" s="468"/>
      <c r="V116" s="1062"/>
      <c r="W116" s="1062"/>
      <c r="X116" s="1062"/>
      <c r="Y116" s="1062"/>
      <c r="Z116" s="1062"/>
      <c r="AA116" s="1546"/>
      <c r="AB116" s="490"/>
      <c r="AC116" s="490"/>
      <c r="AD116" s="490"/>
      <c r="AE116" s="490"/>
    </row>
    <row r="117" spans="1:31" s="1907" customFormat="1" ht="11.25" customHeight="1">
      <c r="A117" s="897"/>
      <c r="B117" s="1550"/>
      <c r="C117" s="1550"/>
      <c r="D117" s="275"/>
      <c r="K117" s="1062"/>
      <c r="L117" s="1550"/>
      <c r="M117" s="1550"/>
      <c r="N117" s="1062"/>
      <c r="O117" s="1062"/>
      <c r="P117" s="1062"/>
      <c r="Q117" s="1062"/>
      <c r="R117" s="1550"/>
      <c r="S117" s="1062"/>
      <c r="T117" s="1062"/>
      <c r="U117" s="468"/>
      <c r="V117" s="1062"/>
      <c r="W117" s="1062"/>
      <c r="X117" s="1062"/>
      <c r="Y117" s="1062"/>
      <c r="Z117" s="1062"/>
      <c r="AA117" s="1546"/>
      <c r="AB117" s="490"/>
      <c r="AC117" s="490"/>
      <c r="AD117" s="490"/>
      <c r="AE117" s="490"/>
    </row>
    <row r="118" spans="1:31" s="1907" customFormat="1" ht="11.25" customHeight="1">
      <c r="A118" s="897"/>
      <c r="B118" s="1550"/>
      <c r="C118" s="1550"/>
      <c r="D118" s="275"/>
      <c r="K118" s="1062"/>
      <c r="L118" s="1550"/>
      <c r="M118" s="1550"/>
      <c r="N118" s="1062"/>
      <c r="O118" s="1062"/>
      <c r="P118" s="1062"/>
      <c r="Q118" s="1062"/>
      <c r="R118" s="1550"/>
      <c r="S118" s="1062"/>
      <c r="T118" s="1062"/>
      <c r="U118" s="468"/>
      <c r="V118" s="1062"/>
      <c r="W118" s="1062"/>
      <c r="X118" s="1062"/>
      <c r="Y118" s="1062"/>
      <c r="Z118" s="1062"/>
      <c r="AA118" s="1546"/>
      <c r="AB118" s="490"/>
      <c r="AC118" s="490"/>
      <c r="AD118" s="490"/>
      <c r="AE118" s="490"/>
    </row>
    <row r="119" spans="1:31" s="1907" customFormat="1" ht="11.25" customHeight="1">
      <c r="A119" s="897"/>
      <c r="B119" s="1550"/>
      <c r="C119" s="1550"/>
      <c r="D119" s="275"/>
      <c r="K119" s="1062"/>
      <c r="L119" s="1550"/>
      <c r="M119" s="1550"/>
      <c r="N119" s="1062"/>
      <c r="O119" s="1062"/>
      <c r="P119" s="1062"/>
      <c r="Q119" s="1062"/>
      <c r="R119" s="1550"/>
      <c r="S119" s="1062"/>
      <c r="T119" s="1062"/>
      <c r="U119" s="468"/>
      <c r="V119" s="1062"/>
      <c r="W119" s="1062"/>
      <c r="X119" s="1062"/>
      <c r="Y119" s="1062"/>
      <c r="Z119" s="1062"/>
      <c r="AA119" s="1546"/>
      <c r="AB119" s="490"/>
      <c r="AC119" s="490"/>
      <c r="AD119" s="490"/>
      <c r="AE119" s="490"/>
    </row>
    <row r="120" spans="1:31" s="1907" customFormat="1" ht="11.25" customHeight="1">
      <c r="A120" s="897"/>
      <c r="B120" s="1550"/>
      <c r="C120" s="1550"/>
      <c r="D120" s="275"/>
      <c r="K120" s="1062"/>
      <c r="L120" s="1550"/>
      <c r="M120" s="1550"/>
      <c r="N120" s="1062"/>
      <c r="O120" s="1062"/>
      <c r="P120" s="1062"/>
      <c r="Q120" s="1062"/>
      <c r="R120" s="1550"/>
      <c r="S120" s="1062"/>
      <c r="T120" s="1062"/>
      <c r="U120" s="468"/>
      <c r="V120" s="1062"/>
      <c r="W120" s="1062"/>
      <c r="X120" s="1062"/>
      <c r="Y120" s="1062"/>
      <c r="Z120" s="1062"/>
      <c r="AA120" s="1546"/>
      <c r="AB120" s="490"/>
      <c r="AC120" s="490"/>
      <c r="AD120" s="490"/>
      <c r="AE120" s="490"/>
    </row>
    <row r="121" spans="1:31" s="1907" customFormat="1" ht="11.25" customHeight="1">
      <c r="A121" s="897"/>
      <c r="B121" s="1550"/>
      <c r="C121" s="1550"/>
      <c r="D121" s="275"/>
      <c r="K121" s="1062"/>
      <c r="L121" s="1550"/>
      <c r="M121" s="1550"/>
      <c r="N121" s="1062"/>
      <c r="O121" s="1062"/>
      <c r="P121" s="1062"/>
      <c r="Q121" s="1062"/>
      <c r="R121" s="1550"/>
      <c r="S121" s="1062"/>
      <c r="T121" s="1062"/>
      <c r="U121" s="468"/>
      <c r="V121" s="1062"/>
      <c r="W121" s="1062"/>
      <c r="X121" s="1062"/>
      <c r="Y121" s="1062"/>
      <c r="Z121" s="1062"/>
      <c r="AA121" s="1546"/>
      <c r="AB121" s="490"/>
      <c r="AC121" s="490"/>
      <c r="AD121" s="490"/>
      <c r="AE121" s="490"/>
    </row>
    <row r="122" spans="1:31" s="1907" customFormat="1" ht="11.25" customHeight="1">
      <c r="A122" s="897"/>
      <c r="B122" s="1550"/>
      <c r="C122" s="1550"/>
      <c r="D122" s="275"/>
      <c r="K122" s="1062"/>
      <c r="L122" s="1550"/>
      <c r="M122" s="1550"/>
      <c r="N122" s="1062"/>
      <c r="O122" s="1062"/>
      <c r="P122" s="1062"/>
      <c r="Q122" s="1062"/>
      <c r="R122" s="1550"/>
      <c r="S122" s="1062"/>
      <c r="T122" s="1062"/>
      <c r="U122" s="468"/>
      <c r="V122" s="1062"/>
      <c r="W122" s="1062"/>
      <c r="X122" s="1062"/>
      <c r="Y122" s="1062"/>
      <c r="Z122" s="1062"/>
      <c r="AA122" s="1546"/>
      <c r="AB122" s="490"/>
      <c r="AC122" s="490"/>
      <c r="AD122" s="490"/>
      <c r="AE122" s="490"/>
    </row>
    <row r="123" spans="1:31" s="1907" customFormat="1" ht="11.25" customHeight="1">
      <c r="A123" s="897"/>
      <c r="B123" s="1550"/>
      <c r="C123" s="1550"/>
      <c r="D123" s="275"/>
      <c r="K123" s="1062"/>
      <c r="L123" s="1550"/>
      <c r="M123" s="1550"/>
      <c r="N123" s="1062"/>
      <c r="O123" s="1062"/>
      <c r="P123" s="1062"/>
      <c r="Q123" s="1062"/>
      <c r="R123" s="1550"/>
      <c r="S123" s="1062"/>
      <c r="T123" s="1062"/>
      <c r="U123" s="468"/>
      <c r="V123" s="1062"/>
      <c r="W123" s="1062"/>
      <c r="X123" s="1062"/>
      <c r="Y123" s="1062"/>
      <c r="Z123" s="1062"/>
      <c r="AA123" s="1546"/>
      <c r="AB123" s="490"/>
      <c r="AC123" s="490"/>
      <c r="AD123" s="490"/>
      <c r="AE123" s="490"/>
    </row>
    <row r="124" spans="1:31" s="1907" customFormat="1" ht="11.25" customHeight="1">
      <c r="A124" s="897"/>
      <c r="B124" s="1550"/>
      <c r="C124" s="1550"/>
      <c r="D124" s="275"/>
      <c r="K124" s="1062"/>
      <c r="L124" s="1550"/>
      <c r="M124" s="1550"/>
      <c r="N124" s="1062"/>
      <c r="O124" s="1062"/>
      <c r="P124" s="1062"/>
      <c r="Q124" s="1062"/>
      <c r="R124" s="1550"/>
      <c r="S124" s="1062"/>
      <c r="T124" s="1062"/>
      <c r="U124" s="468"/>
      <c r="V124" s="1062"/>
      <c r="W124" s="1062"/>
      <c r="X124" s="1062"/>
      <c r="Y124" s="1062"/>
      <c r="Z124" s="1062"/>
      <c r="AA124" s="1546"/>
      <c r="AB124" s="490"/>
      <c r="AC124" s="490"/>
      <c r="AD124" s="490"/>
      <c r="AE124" s="490"/>
    </row>
    <row r="125" spans="1:31" s="1907" customFormat="1" ht="11.25" customHeight="1">
      <c r="A125" s="897"/>
      <c r="B125" s="1550"/>
      <c r="C125" s="1550"/>
      <c r="D125" s="275"/>
      <c r="K125" s="1062"/>
      <c r="L125" s="1550"/>
      <c r="M125" s="1550"/>
      <c r="N125" s="1062"/>
      <c r="O125" s="1062"/>
      <c r="P125" s="1062"/>
      <c r="Q125" s="1062"/>
      <c r="R125" s="1550"/>
      <c r="S125" s="1062"/>
      <c r="T125" s="1062"/>
      <c r="U125" s="468"/>
      <c r="V125" s="1062"/>
      <c r="W125" s="1062"/>
      <c r="X125" s="1062"/>
      <c r="Y125" s="1062"/>
      <c r="Z125" s="1062"/>
      <c r="AA125" s="1546"/>
      <c r="AB125" s="490"/>
      <c r="AC125" s="490"/>
      <c r="AD125" s="490"/>
      <c r="AE125" s="490"/>
    </row>
    <row r="126" spans="1:31" s="1907" customFormat="1" ht="11.25" customHeight="1">
      <c r="A126" s="897"/>
      <c r="B126" s="1550"/>
      <c r="C126" s="1550"/>
      <c r="D126" s="275"/>
      <c r="K126" s="1062"/>
      <c r="L126" s="1550"/>
      <c r="M126" s="1550"/>
      <c r="N126" s="1062"/>
      <c r="O126" s="1062"/>
      <c r="P126" s="1062"/>
      <c r="Q126" s="1062"/>
      <c r="R126" s="1550"/>
      <c r="S126" s="1062"/>
      <c r="T126" s="1062"/>
      <c r="U126" s="468"/>
      <c r="V126" s="1062"/>
      <c r="W126" s="1062"/>
      <c r="X126" s="1062"/>
      <c r="Y126" s="1062"/>
      <c r="Z126" s="1062"/>
      <c r="AA126" s="1546"/>
      <c r="AB126" s="490"/>
      <c r="AC126" s="490"/>
      <c r="AD126" s="490"/>
      <c r="AE126" s="490"/>
    </row>
    <row r="127" spans="1:31" s="1907" customFormat="1" ht="11.25" customHeight="1">
      <c r="A127" s="897"/>
      <c r="B127" s="1550"/>
      <c r="C127" s="1550"/>
      <c r="D127" s="275"/>
      <c r="K127" s="1062"/>
      <c r="L127" s="1550"/>
      <c r="M127" s="1550"/>
      <c r="N127" s="1062"/>
      <c r="O127" s="1062"/>
      <c r="P127" s="1062"/>
      <c r="Q127" s="1062"/>
      <c r="R127" s="1550"/>
      <c r="S127" s="1062"/>
      <c r="T127" s="1062"/>
      <c r="U127" s="468"/>
      <c r="V127" s="1062"/>
      <c r="W127" s="1062"/>
      <c r="X127" s="1062"/>
      <c r="Y127" s="1062"/>
      <c r="Z127" s="1062"/>
      <c r="AA127" s="1546"/>
      <c r="AB127" s="490"/>
      <c r="AC127" s="490"/>
      <c r="AD127" s="490"/>
      <c r="AE127" s="490"/>
    </row>
    <row r="128" spans="1:31" s="1907" customFormat="1" ht="11.25" customHeight="1">
      <c r="A128" s="897"/>
      <c r="B128" s="1550"/>
      <c r="C128" s="1550"/>
      <c r="D128" s="275"/>
      <c r="K128" s="1062"/>
      <c r="L128" s="1550"/>
      <c r="M128" s="1550"/>
      <c r="N128" s="1062"/>
      <c r="O128" s="1062"/>
      <c r="P128" s="1062"/>
      <c r="Q128" s="1062"/>
      <c r="R128" s="1550"/>
      <c r="S128" s="1062"/>
      <c r="T128" s="1062"/>
      <c r="U128" s="468"/>
      <c r="V128" s="1062"/>
      <c r="W128" s="1062"/>
      <c r="X128" s="1062"/>
      <c r="Y128" s="1062"/>
      <c r="Z128" s="1062"/>
      <c r="AA128" s="1546"/>
      <c r="AB128" s="490"/>
      <c r="AC128" s="490"/>
      <c r="AD128" s="490"/>
      <c r="AE128" s="490"/>
    </row>
    <row r="129" spans="1:31" s="1907" customFormat="1" ht="11.25" customHeight="1">
      <c r="A129" s="897"/>
      <c r="B129" s="1550"/>
      <c r="C129" s="1550"/>
      <c r="D129" s="275"/>
      <c r="K129" s="1062"/>
      <c r="L129" s="1550"/>
      <c r="M129" s="1550"/>
      <c r="N129" s="1062"/>
      <c r="O129" s="1062"/>
      <c r="P129" s="1062"/>
      <c r="Q129" s="1062"/>
      <c r="R129" s="1550"/>
      <c r="S129" s="1062"/>
      <c r="T129" s="1062"/>
      <c r="U129" s="468"/>
      <c r="V129" s="1062"/>
      <c r="W129" s="1062"/>
      <c r="X129" s="1062"/>
      <c r="Y129" s="1062"/>
      <c r="Z129" s="1062"/>
      <c r="AA129" s="1546"/>
      <c r="AB129" s="490"/>
      <c r="AC129" s="490"/>
      <c r="AD129" s="490"/>
      <c r="AE129" s="490"/>
    </row>
    <row r="130" spans="1:31" s="1907" customFormat="1" ht="11.25" customHeight="1">
      <c r="A130" s="897"/>
      <c r="B130" s="1550"/>
      <c r="C130" s="1550"/>
      <c r="D130" s="275"/>
      <c r="K130" s="1062"/>
      <c r="L130" s="1550"/>
      <c r="M130" s="1550"/>
      <c r="N130" s="1062"/>
      <c r="O130" s="1062"/>
      <c r="P130" s="1062"/>
      <c r="Q130" s="1062"/>
      <c r="R130" s="1550"/>
      <c r="S130" s="1062"/>
      <c r="T130" s="1062"/>
      <c r="U130" s="468"/>
      <c r="V130" s="1062"/>
      <c r="W130" s="1062"/>
      <c r="X130" s="1062"/>
      <c r="Y130" s="1062"/>
      <c r="Z130" s="1062"/>
      <c r="AA130" s="1546"/>
      <c r="AB130" s="490"/>
      <c r="AC130" s="490"/>
      <c r="AD130" s="490"/>
      <c r="AE130" s="490"/>
    </row>
    <row r="131" spans="1:31" s="1907" customFormat="1" ht="11.25" customHeight="1">
      <c r="A131" s="897"/>
      <c r="B131" s="1550"/>
      <c r="C131" s="1550"/>
      <c r="D131" s="275"/>
      <c r="K131" s="1062"/>
      <c r="L131" s="1550"/>
      <c r="M131" s="1550"/>
      <c r="N131" s="1062"/>
      <c r="O131" s="1062"/>
      <c r="P131" s="1062"/>
      <c r="Q131" s="1062"/>
      <c r="R131" s="1550"/>
      <c r="S131" s="1062"/>
      <c r="T131" s="1062"/>
      <c r="U131" s="468"/>
      <c r="V131" s="1062"/>
      <c r="W131" s="1062"/>
      <c r="X131" s="1062"/>
      <c r="Y131" s="1062"/>
      <c r="Z131" s="1062"/>
      <c r="AA131" s="1546"/>
      <c r="AB131" s="490"/>
      <c r="AC131" s="490"/>
      <c r="AD131" s="490"/>
      <c r="AE131" s="490"/>
    </row>
    <row r="132" spans="1:31" s="1907" customFormat="1" ht="11.25" customHeight="1">
      <c r="A132" s="897"/>
      <c r="B132" s="1550"/>
      <c r="C132" s="1550"/>
      <c r="D132" s="275"/>
      <c r="K132" s="1062"/>
      <c r="L132" s="1550"/>
      <c r="M132" s="1550"/>
      <c r="N132" s="1062"/>
      <c r="O132" s="1062"/>
      <c r="P132" s="1062"/>
      <c r="Q132" s="1062"/>
      <c r="R132" s="1550"/>
      <c r="S132" s="1062"/>
      <c r="T132" s="1062"/>
      <c r="U132" s="468"/>
      <c r="V132" s="1062"/>
      <c r="W132" s="1062"/>
      <c r="X132" s="1062"/>
      <c r="Y132" s="1062"/>
      <c r="Z132" s="1062"/>
      <c r="AA132" s="1546"/>
      <c r="AB132" s="490"/>
      <c r="AC132" s="490"/>
      <c r="AD132" s="490"/>
      <c r="AE132" s="490"/>
    </row>
    <row r="133" spans="1:31" s="1907" customFormat="1" ht="11.25" customHeight="1">
      <c r="A133" s="897"/>
      <c r="B133" s="1550"/>
      <c r="C133" s="1550"/>
      <c r="D133" s="275"/>
      <c r="K133" s="1062"/>
      <c r="L133" s="1550"/>
      <c r="M133" s="1550"/>
      <c r="N133" s="1062"/>
      <c r="O133" s="1062"/>
      <c r="P133" s="1062"/>
      <c r="Q133" s="1062"/>
      <c r="R133" s="1550"/>
      <c r="S133" s="1062"/>
      <c r="T133" s="1062"/>
      <c r="U133" s="468"/>
      <c r="V133" s="1062"/>
      <c r="W133" s="1062"/>
      <c r="X133" s="1062"/>
      <c r="Y133" s="1062"/>
      <c r="Z133" s="1062"/>
      <c r="AA133" s="1546"/>
      <c r="AB133" s="490"/>
      <c r="AC133" s="490"/>
      <c r="AD133" s="490"/>
      <c r="AE133" s="490"/>
    </row>
    <row r="134" spans="1:31" s="1907" customFormat="1" ht="11.25" customHeight="1">
      <c r="A134" s="897"/>
      <c r="B134" s="1550"/>
      <c r="C134" s="1550"/>
      <c r="D134" s="275"/>
      <c r="K134" s="1062"/>
      <c r="L134" s="1550"/>
      <c r="M134" s="1550"/>
      <c r="N134" s="1062"/>
      <c r="O134" s="1062"/>
      <c r="P134" s="1062"/>
      <c r="Q134" s="1062"/>
      <c r="R134" s="1550"/>
      <c r="S134" s="1062"/>
      <c r="T134" s="1062"/>
      <c r="U134" s="468"/>
      <c r="V134" s="1062"/>
      <c r="W134" s="1062"/>
      <c r="X134" s="1062"/>
      <c r="Y134" s="1062"/>
      <c r="Z134" s="1062"/>
      <c r="AA134" s="1546"/>
      <c r="AB134" s="490"/>
      <c r="AC134" s="490"/>
      <c r="AD134" s="490"/>
      <c r="AE134" s="490"/>
    </row>
    <row r="135" spans="1:31" s="1907" customFormat="1" ht="11.25" customHeight="1">
      <c r="A135" s="897"/>
      <c r="B135" s="1550"/>
      <c r="C135" s="1550"/>
      <c r="D135" s="275"/>
      <c r="K135" s="1062"/>
      <c r="L135" s="1550"/>
      <c r="M135" s="1550"/>
      <c r="N135" s="1062"/>
      <c r="O135" s="1062"/>
      <c r="P135" s="1062"/>
      <c r="Q135" s="1062"/>
      <c r="R135" s="1550"/>
      <c r="S135" s="1062"/>
      <c r="T135" s="1062"/>
      <c r="U135" s="468"/>
      <c r="V135" s="1062"/>
      <c r="W135" s="1062"/>
      <c r="X135" s="1062"/>
      <c r="Y135" s="1062"/>
      <c r="Z135" s="1062"/>
      <c r="AA135" s="1546"/>
      <c r="AB135" s="490"/>
      <c r="AC135" s="490"/>
      <c r="AD135" s="490"/>
      <c r="AE135" s="490"/>
    </row>
    <row r="136" spans="1:31" s="1907" customFormat="1" ht="11.25" customHeight="1">
      <c r="A136" s="897"/>
      <c r="B136" s="1550"/>
      <c r="C136" s="1550"/>
      <c r="D136" s="275"/>
      <c r="K136" s="1062"/>
      <c r="L136" s="1550"/>
      <c r="M136" s="1550"/>
      <c r="N136" s="1062"/>
      <c r="O136" s="1062"/>
      <c r="P136" s="1062"/>
      <c r="Q136" s="1062"/>
      <c r="R136" s="1550"/>
      <c r="S136" s="1062"/>
      <c r="T136" s="1062"/>
      <c r="U136" s="468"/>
      <c r="V136" s="1062"/>
      <c r="W136" s="1062"/>
      <c r="X136" s="1062"/>
      <c r="Y136" s="1062"/>
      <c r="Z136" s="1062"/>
      <c r="AA136" s="1546"/>
      <c r="AB136" s="490"/>
      <c r="AC136" s="490"/>
      <c r="AD136" s="490"/>
      <c r="AE136" s="490"/>
    </row>
    <row r="137" spans="1:31" s="1907" customFormat="1" ht="11.25" customHeight="1">
      <c r="A137" s="897"/>
      <c r="B137" s="1550"/>
      <c r="C137" s="1550"/>
      <c r="D137" s="275"/>
      <c r="K137" s="1062"/>
      <c r="L137" s="1550"/>
      <c r="M137" s="1550"/>
      <c r="N137" s="1062"/>
      <c r="O137" s="1062"/>
      <c r="P137" s="1062"/>
      <c r="Q137" s="1062"/>
      <c r="R137" s="1550"/>
      <c r="S137" s="1062"/>
      <c r="T137" s="1062"/>
      <c r="U137" s="468"/>
      <c r="V137" s="1062"/>
      <c r="W137" s="1062"/>
      <c r="X137" s="1062"/>
      <c r="Y137" s="1062"/>
      <c r="Z137" s="1062"/>
      <c r="AA137" s="1546"/>
      <c r="AB137" s="490"/>
      <c r="AC137" s="490"/>
      <c r="AD137" s="490"/>
      <c r="AE137" s="490"/>
    </row>
    <row r="138" spans="1:31" s="1907" customFormat="1" ht="11.25" customHeight="1">
      <c r="A138" s="897"/>
      <c r="B138" s="1550"/>
      <c r="C138" s="1550"/>
      <c r="D138" s="275"/>
      <c r="K138" s="1062"/>
      <c r="L138" s="1550"/>
      <c r="M138" s="1550"/>
      <c r="N138" s="1062"/>
      <c r="O138" s="1062"/>
      <c r="P138" s="1062"/>
      <c r="Q138" s="1062"/>
      <c r="R138" s="1550"/>
      <c r="S138" s="1062"/>
      <c r="T138" s="1062"/>
      <c r="U138" s="468"/>
      <c r="V138" s="1062"/>
      <c r="W138" s="1062"/>
      <c r="X138" s="1062"/>
      <c r="Y138" s="1062"/>
      <c r="Z138" s="1062"/>
      <c r="AA138" s="1546"/>
      <c r="AB138" s="490"/>
      <c r="AC138" s="490"/>
      <c r="AD138" s="490"/>
      <c r="AE138" s="490"/>
    </row>
    <row r="139" spans="1:31" s="1907" customFormat="1" ht="11.25" customHeight="1">
      <c r="A139" s="897"/>
      <c r="B139" s="1550"/>
      <c r="C139" s="1550"/>
      <c r="D139" s="275"/>
      <c r="K139" s="1062"/>
      <c r="L139" s="1550"/>
      <c r="M139" s="1550"/>
      <c r="N139" s="1062"/>
      <c r="O139" s="1062"/>
      <c r="P139" s="1062"/>
      <c r="Q139" s="1062"/>
      <c r="R139" s="1550"/>
      <c r="S139" s="1062"/>
      <c r="T139" s="1062"/>
      <c r="U139" s="468"/>
      <c r="V139" s="1062"/>
      <c r="W139" s="1062"/>
      <c r="X139" s="1062"/>
      <c r="Y139" s="1062"/>
      <c r="Z139" s="1062"/>
      <c r="AA139" s="1546"/>
      <c r="AB139" s="490"/>
      <c r="AC139" s="490"/>
      <c r="AD139" s="490"/>
      <c r="AE139" s="490"/>
    </row>
    <row r="140" spans="1:31" s="1907" customFormat="1" ht="11.25" customHeight="1">
      <c r="A140" s="897"/>
      <c r="B140" s="1550"/>
      <c r="C140" s="1550"/>
      <c r="D140" s="275"/>
      <c r="K140" s="1062"/>
      <c r="L140" s="1550"/>
      <c r="M140" s="1550"/>
      <c r="N140" s="1062"/>
      <c r="O140" s="1062"/>
      <c r="P140" s="1062"/>
      <c r="Q140" s="1062"/>
      <c r="R140" s="1550"/>
      <c r="S140" s="1062"/>
      <c r="T140" s="1062"/>
      <c r="U140" s="468"/>
      <c r="V140" s="1062"/>
      <c r="W140" s="1062"/>
      <c r="X140" s="1062"/>
      <c r="Y140" s="1062"/>
      <c r="Z140" s="1062"/>
      <c r="AA140" s="1546"/>
      <c r="AB140" s="490"/>
      <c r="AC140" s="490"/>
      <c r="AD140" s="490"/>
      <c r="AE140" s="490"/>
    </row>
    <row r="141" spans="1:31" s="1907" customFormat="1" ht="11.25" customHeight="1">
      <c r="A141" s="897"/>
      <c r="B141" s="1550"/>
      <c r="C141" s="1550"/>
      <c r="D141" s="275"/>
      <c r="K141" s="1062"/>
      <c r="L141" s="1550"/>
      <c r="M141" s="1550"/>
      <c r="N141" s="1062"/>
      <c r="O141" s="1062"/>
      <c r="P141" s="1062"/>
      <c r="Q141" s="1062"/>
      <c r="R141" s="1550"/>
      <c r="S141" s="1062"/>
      <c r="T141" s="1062"/>
      <c r="U141" s="468"/>
      <c r="V141" s="1062"/>
      <c r="W141" s="1062"/>
      <c r="X141" s="1062"/>
      <c r="Y141" s="1062"/>
      <c r="Z141" s="1062"/>
      <c r="AA141" s="1546"/>
      <c r="AB141" s="490"/>
      <c r="AC141" s="490"/>
      <c r="AD141" s="490"/>
      <c r="AE141" s="490"/>
    </row>
    <row r="142" spans="1:31" s="1907" customFormat="1" ht="11.25" customHeight="1">
      <c r="A142" s="897"/>
      <c r="B142" s="1550"/>
      <c r="C142" s="1550"/>
      <c r="D142" s="275"/>
      <c r="K142" s="1062"/>
      <c r="L142" s="1550"/>
      <c r="M142" s="1550"/>
      <c r="N142" s="1062"/>
      <c r="O142" s="1062"/>
      <c r="P142" s="1062"/>
      <c r="Q142" s="1062"/>
      <c r="R142" s="1550"/>
      <c r="S142" s="1062"/>
      <c r="T142" s="1062"/>
      <c r="U142" s="468"/>
      <c r="V142" s="1062"/>
      <c r="W142" s="1062"/>
      <c r="X142" s="1062"/>
      <c r="Y142" s="1062"/>
      <c r="Z142" s="1062"/>
      <c r="AA142" s="1546"/>
      <c r="AB142" s="490"/>
      <c r="AC142" s="490"/>
      <c r="AD142" s="490"/>
      <c r="AE142" s="490"/>
    </row>
    <row r="143" spans="1:31" s="1907" customFormat="1" ht="11.25" customHeight="1">
      <c r="A143" s="897"/>
      <c r="B143" s="1550"/>
      <c r="C143" s="1550"/>
      <c r="D143" s="275"/>
      <c r="K143" s="1062"/>
      <c r="L143" s="1550"/>
      <c r="M143" s="1550"/>
      <c r="N143" s="1062"/>
      <c r="O143" s="1062"/>
      <c r="P143" s="1062"/>
      <c r="Q143" s="1062"/>
      <c r="R143" s="1550"/>
      <c r="S143" s="1062"/>
      <c r="T143" s="1062"/>
      <c r="U143" s="468"/>
      <c r="V143" s="1062"/>
      <c r="W143" s="1062"/>
      <c r="X143" s="1062"/>
      <c r="Y143" s="1062"/>
      <c r="Z143" s="1062"/>
      <c r="AA143" s="1546"/>
      <c r="AB143" s="490"/>
      <c r="AC143" s="490"/>
      <c r="AD143" s="490"/>
      <c r="AE143" s="490"/>
    </row>
    <row r="144" spans="1:31" s="1907" customFormat="1" ht="11.25" customHeight="1">
      <c r="A144" s="897"/>
      <c r="B144" s="1550"/>
      <c r="C144" s="1550"/>
      <c r="D144" s="275"/>
      <c r="K144" s="1062"/>
      <c r="L144" s="1550"/>
      <c r="M144" s="1550"/>
      <c r="N144" s="1062"/>
      <c r="O144" s="1062"/>
      <c r="P144" s="1062"/>
      <c r="Q144" s="1062"/>
      <c r="R144" s="1550"/>
      <c r="S144" s="1062"/>
      <c r="T144" s="1062"/>
      <c r="U144" s="468"/>
      <c r="V144" s="1062"/>
      <c r="W144" s="1062"/>
      <c r="X144" s="1062"/>
      <c r="Y144" s="1062"/>
      <c r="Z144" s="1062"/>
      <c r="AA144" s="1546"/>
      <c r="AB144" s="490"/>
      <c r="AC144" s="490"/>
      <c r="AD144" s="490"/>
      <c r="AE144" s="490"/>
    </row>
    <row r="145" spans="1:31" s="1907" customFormat="1" ht="11.25" customHeight="1">
      <c r="A145" s="897"/>
      <c r="B145" s="1550"/>
      <c r="C145" s="1550"/>
      <c r="D145" s="275"/>
      <c r="K145" s="1062"/>
      <c r="L145" s="1550"/>
      <c r="M145" s="1550"/>
      <c r="N145" s="1062"/>
      <c r="O145" s="1062"/>
      <c r="P145" s="1062"/>
      <c r="Q145" s="1062"/>
      <c r="R145" s="1550"/>
      <c r="S145" s="1062"/>
      <c r="T145" s="1062"/>
      <c r="U145" s="468"/>
      <c r="V145" s="1062"/>
      <c r="W145" s="1062"/>
      <c r="X145" s="1062"/>
      <c r="Y145" s="1062"/>
      <c r="Z145" s="1062"/>
      <c r="AA145" s="1546"/>
      <c r="AB145" s="490"/>
      <c r="AC145" s="490"/>
      <c r="AD145" s="490"/>
      <c r="AE145" s="490"/>
    </row>
    <row r="146" spans="1:31" s="1907" customFormat="1" ht="11.25" customHeight="1">
      <c r="A146" s="897"/>
      <c r="B146" s="1550"/>
      <c r="C146" s="1550"/>
      <c r="D146" s="275"/>
      <c r="K146" s="1062"/>
      <c r="L146" s="1550"/>
      <c r="M146" s="1550"/>
      <c r="N146" s="1062"/>
      <c r="O146" s="1062"/>
      <c r="P146" s="1062"/>
      <c r="Q146" s="1062"/>
      <c r="R146" s="1550"/>
      <c r="S146" s="1062"/>
      <c r="T146" s="1062"/>
      <c r="U146" s="468"/>
      <c r="V146" s="1062"/>
      <c r="W146" s="1062"/>
      <c r="X146" s="1062"/>
      <c r="Y146" s="1062"/>
      <c r="Z146" s="1062"/>
      <c r="AA146" s="1546"/>
      <c r="AB146" s="490"/>
      <c r="AC146" s="490"/>
      <c r="AD146" s="490"/>
      <c r="AE146" s="490"/>
    </row>
    <row r="147" spans="1:31" s="1907" customFormat="1" ht="11.25" customHeight="1">
      <c r="A147" s="897"/>
      <c r="B147" s="1550"/>
      <c r="C147" s="1550"/>
      <c r="D147" s="275"/>
      <c r="K147" s="1062"/>
      <c r="L147" s="1550"/>
      <c r="M147" s="1550"/>
      <c r="N147" s="1062"/>
      <c r="O147" s="1062"/>
      <c r="P147" s="1062"/>
      <c r="Q147" s="1062"/>
      <c r="R147" s="1550"/>
      <c r="S147" s="1062"/>
      <c r="T147" s="1062"/>
      <c r="U147" s="468"/>
      <c r="V147" s="1062"/>
      <c r="W147" s="1062"/>
      <c r="X147" s="1062"/>
      <c r="Y147" s="1062"/>
      <c r="Z147" s="1062"/>
      <c r="AA147" s="1546"/>
      <c r="AB147" s="490"/>
      <c r="AC147" s="490"/>
      <c r="AD147" s="490"/>
      <c r="AE147" s="490"/>
    </row>
    <row r="148" spans="1:31" s="1907" customFormat="1" ht="11.25" customHeight="1">
      <c r="A148" s="897"/>
      <c r="B148" s="1550"/>
      <c r="C148" s="1550"/>
      <c r="D148" s="275"/>
      <c r="K148" s="1062"/>
      <c r="L148" s="1550"/>
      <c r="M148" s="1550"/>
      <c r="N148" s="1062"/>
      <c r="O148" s="1062"/>
      <c r="P148" s="1062"/>
      <c r="Q148" s="1062"/>
      <c r="R148" s="1550"/>
      <c r="S148" s="1062"/>
      <c r="T148" s="1062"/>
      <c r="U148" s="468"/>
      <c r="V148" s="1062"/>
      <c r="W148" s="1062"/>
      <c r="X148" s="1062"/>
      <c r="Y148" s="1062"/>
      <c r="Z148" s="1062"/>
      <c r="AA148" s="1546"/>
      <c r="AB148" s="490"/>
      <c r="AC148" s="490"/>
      <c r="AD148" s="490"/>
      <c r="AE148" s="490"/>
    </row>
    <row r="149" spans="1:31" s="1907" customFormat="1" ht="11.25" customHeight="1">
      <c r="A149" s="897"/>
      <c r="B149" s="1550"/>
      <c r="C149" s="1550"/>
      <c r="D149" s="275"/>
      <c r="K149" s="1062"/>
      <c r="L149" s="1550"/>
      <c r="M149" s="1550"/>
      <c r="N149" s="1062"/>
      <c r="O149" s="1062"/>
      <c r="P149" s="1062"/>
      <c r="Q149" s="1062"/>
      <c r="R149" s="1550"/>
      <c r="S149" s="1062"/>
      <c r="T149" s="1062"/>
      <c r="U149" s="468"/>
      <c r="V149" s="1062"/>
      <c r="W149" s="1062"/>
      <c r="X149" s="1062"/>
      <c r="Y149" s="1062"/>
      <c r="Z149" s="1062"/>
      <c r="AA149" s="1546"/>
      <c r="AB149" s="490"/>
      <c r="AC149" s="490"/>
      <c r="AD149" s="490"/>
      <c r="AE149" s="490"/>
    </row>
    <row r="150" spans="1:31" s="1907" customFormat="1" ht="11.25" customHeight="1">
      <c r="A150" s="897"/>
      <c r="B150" s="1550"/>
      <c r="C150" s="1550"/>
      <c r="D150" s="275"/>
      <c r="K150" s="1062"/>
      <c r="L150" s="1550"/>
      <c r="M150" s="1550"/>
      <c r="N150" s="1062"/>
      <c r="O150" s="1062"/>
      <c r="P150" s="1062"/>
      <c r="Q150" s="1062"/>
      <c r="R150" s="1550"/>
      <c r="S150" s="1062"/>
      <c r="T150" s="1062"/>
      <c r="U150" s="468"/>
      <c r="V150" s="1062"/>
      <c r="W150" s="1062"/>
      <c r="X150" s="1062"/>
      <c r="Y150" s="1062"/>
      <c r="Z150" s="1062"/>
      <c r="AA150" s="1546"/>
      <c r="AB150" s="490"/>
      <c r="AC150" s="490"/>
      <c r="AD150" s="490"/>
      <c r="AE150" s="490"/>
    </row>
    <row r="151" spans="1:31" s="1907" customFormat="1" ht="11.25" customHeight="1">
      <c r="A151" s="897"/>
      <c r="B151" s="1550"/>
      <c r="C151" s="1550"/>
      <c r="D151" s="275"/>
      <c r="K151" s="1062"/>
      <c r="L151" s="1550"/>
      <c r="M151" s="1550"/>
      <c r="N151" s="1062"/>
      <c r="O151" s="1062"/>
      <c r="P151" s="1062"/>
      <c r="Q151" s="1062"/>
      <c r="R151" s="1550"/>
      <c r="S151" s="1062"/>
      <c r="T151" s="1062"/>
      <c r="U151" s="468"/>
      <c r="V151" s="1062"/>
      <c r="W151" s="1062"/>
      <c r="X151" s="1062"/>
      <c r="Y151" s="1062"/>
      <c r="Z151" s="1062"/>
      <c r="AA151" s="1546"/>
      <c r="AB151" s="490"/>
      <c r="AC151" s="490"/>
      <c r="AD151" s="490"/>
      <c r="AE151" s="490"/>
    </row>
    <row r="152" spans="1:31" s="1907" customFormat="1" ht="11.25" customHeight="1">
      <c r="A152" s="897"/>
      <c r="B152" s="1550"/>
      <c r="C152" s="1550"/>
      <c r="D152" s="275"/>
      <c r="K152" s="1062"/>
      <c r="L152" s="1550"/>
      <c r="M152" s="1550"/>
      <c r="N152" s="1062"/>
      <c r="O152" s="1062"/>
      <c r="P152" s="1062"/>
      <c r="Q152" s="1062"/>
      <c r="R152" s="1550"/>
      <c r="S152" s="1062"/>
      <c r="T152" s="1062"/>
      <c r="U152" s="468"/>
      <c r="V152" s="1062"/>
      <c r="W152" s="1062"/>
      <c r="X152" s="1062"/>
      <c r="Y152" s="1062"/>
      <c r="Z152" s="1062"/>
      <c r="AA152" s="1546"/>
      <c r="AB152" s="490"/>
      <c r="AC152" s="490"/>
      <c r="AD152" s="490"/>
      <c r="AE152" s="490"/>
    </row>
    <row r="153" spans="1:31" s="1907" customFormat="1" ht="11.25" customHeight="1">
      <c r="A153" s="897"/>
      <c r="B153" s="1550"/>
      <c r="C153" s="1550"/>
      <c r="D153" s="275"/>
      <c r="K153" s="1062"/>
      <c r="L153" s="1550"/>
      <c r="M153" s="1550"/>
      <c r="N153" s="1062"/>
      <c r="O153" s="1062"/>
      <c r="P153" s="1062"/>
      <c r="Q153" s="1062"/>
      <c r="R153" s="1550"/>
      <c r="S153" s="1062"/>
      <c r="T153" s="1062"/>
      <c r="U153" s="468"/>
      <c r="V153" s="1062"/>
      <c r="W153" s="1062"/>
      <c r="X153" s="1062"/>
      <c r="Y153" s="1062"/>
      <c r="Z153" s="1062"/>
      <c r="AA153" s="1546"/>
      <c r="AB153" s="490"/>
      <c r="AC153" s="490"/>
      <c r="AD153" s="490"/>
      <c r="AE153" s="490"/>
    </row>
    <row r="154" spans="1:31" s="1907" customFormat="1" ht="11.25" customHeight="1">
      <c r="A154" s="897"/>
      <c r="B154" s="1550"/>
      <c r="C154" s="1550"/>
      <c r="D154" s="275"/>
      <c r="K154" s="1062"/>
      <c r="L154" s="1550"/>
      <c r="M154" s="1550"/>
      <c r="N154" s="1062"/>
      <c r="O154" s="1062"/>
      <c r="P154" s="1062"/>
      <c r="Q154" s="1062"/>
      <c r="R154" s="1550"/>
      <c r="S154" s="1062"/>
      <c r="T154" s="1062"/>
      <c r="U154" s="468"/>
      <c r="V154" s="1062"/>
      <c r="W154" s="1062"/>
      <c r="X154" s="1062"/>
      <c r="Y154" s="1062"/>
      <c r="Z154" s="1062"/>
      <c r="AA154" s="1546"/>
      <c r="AB154" s="490"/>
      <c r="AC154" s="490"/>
      <c r="AD154" s="490"/>
      <c r="AE154" s="490"/>
    </row>
    <row r="155" spans="1:31" s="1907" customFormat="1" ht="11.25" customHeight="1">
      <c r="A155" s="897"/>
      <c r="B155" s="1550"/>
      <c r="C155" s="1550"/>
      <c r="D155" s="275"/>
      <c r="K155" s="1062"/>
      <c r="L155" s="1550"/>
      <c r="M155" s="1550"/>
      <c r="N155" s="1062"/>
      <c r="O155" s="1062"/>
      <c r="P155" s="1062"/>
      <c r="Q155" s="1062"/>
      <c r="R155" s="1550"/>
      <c r="S155" s="1062"/>
      <c r="T155" s="1062"/>
      <c r="U155" s="468"/>
      <c r="V155" s="1062"/>
      <c r="W155" s="1062"/>
      <c r="X155" s="1062"/>
      <c r="Y155" s="1062"/>
      <c r="Z155" s="1062"/>
      <c r="AA155" s="1546"/>
      <c r="AB155" s="490"/>
      <c r="AC155" s="490"/>
      <c r="AD155" s="490"/>
      <c r="AE155" s="490"/>
    </row>
    <row r="156" spans="1:31" s="1907" customFormat="1" ht="11.25" customHeight="1">
      <c r="A156" s="897"/>
      <c r="B156" s="1550"/>
      <c r="C156" s="1550"/>
      <c r="D156" s="275"/>
      <c r="K156" s="1062"/>
      <c r="L156" s="1550"/>
      <c r="M156" s="1550"/>
      <c r="N156" s="1062"/>
      <c r="O156" s="1062"/>
      <c r="P156" s="1062"/>
      <c r="Q156" s="1062"/>
      <c r="R156" s="1550"/>
      <c r="S156" s="1062"/>
      <c r="T156" s="1062"/>
      <c r="U156" s="468"/>
      <c r="V156" s="1062"/>
      <c r="W156" s="1062"/>
      <c r="X156" s="1062"/>
      <c r="Y156" s="1062"/>
      <c r="Z156" s="1062"/>
      <c r="AA156" s="1546"/>
      <c r="AB156" s="490"/>
      <c r="AC156" s="490"/>
      <c r="AD156" s="490"/>
      <c r="AE156" s="490"/>
    </row>
    <row r="157" spans="1:31" s="1907" customFormat="1" ht="11.25" customHeight="1">
      <c r="A157" s="897"/>
      <c r="B157" s="1550"/>
      <c r="C157" s="1550"/>
      <c r="D157" s="275"/>
      <c r="K157" s="1062"/>
      <c r="L157" s="1550"/>
      <c r="M157" s="1550"/>
      <c r="N157" s="1062"/>
      <c r="O157" s="1062"/>
      <c r="P157" s="1062"/>
      <c r="Q157" s="1062"/>
      <c r="R157" s="1550"/>
      <c r="S157" s="1062"/>
      <c r="T157" s="1062"/>
      <c r="U157" s="468"/>
      <c r="V157" s="1062"/>
      <c r="W157" s="1062"/>
      <c r="X157" s="1062"/>
      <c r="Y157" s="1062"/>
      <c r="Z157" s="1062"/>
      <c r="AA157" s="1546"/>
      <c r="AB157" s="490"/>
      <c r="AC157" s="490"/>
      <c r="AD157" s="490"/>
      <c r="AE157" s="490"/>
    </row>
    <row r="158" spans="1:31" s="1907" customFormat="1" ht="11.25" customHeight="1">
      <c r="A158" s="897"/>
      <c r="B158" s="1550"/>
      <c r="C158" s="1550"/>
      <c r="D158" s="275"/>
      <c r="K158" s="1062"/>
      <c r="L158" s="1550"/>
      <c r="M158" s="1550"/>
      <c r="N158" s="1062"/>
      <c r="O158" s="1062"/>
      <c r="P158" s="1062"/>
      <c r="Q158" s="1062"/>
      <c r="R158" s="1550"/>
      <c r="S158" s="1062"/>
      <c r="T158" s="1062"/>
      <c r="U158" s="468"/>
      <c r="V158" s="1062"/>
      <c r="W158" s="1062"/>
      <c r="X158" s="1062"/>
      <c r="Y158" s="1062"/>
      <c r="Z158" s="1062"/>
      <c r="AA158" s="1546"/>
      <c r="AB158" s="490"/>
      <c r="AC158" s="490"/>
      <c r="AD158" s="490"/>
      <c r="AE158" s="490"/>
    </row>
    <row r="159" spans="1:31" s="1907" customFormat="1" ht="11.25" customHeight="1">
      <c r="A159" s="897"/>
      <c r="B159" s="1550"/>
      <c r="C159" s="1550"/>
      <c r="D159" s="275"/>
      <c r="K159" s="1062"/>
      <c r="L159" s="1550"/>
      <c r="M159" s="1550"/>
      <c r="N159" s="1062"/>
      <c r="O159" s="1062"/>
      <c r="P159" s="1062"/>
      <c r="Q159" s="1062"/>
      <c r="R159" s="1550"/>
      <c r="S159" s="1062"/>
      <c r="T159" s="1062"/>
      <c r="U159" s="468"/>
      <c r="V159" s="1062"/>
      <c r="W159" s="1062"/>
      <c r="X159" s="1062"/>
      <c r="Y159" s="1062"/>
      <c r="Z159" s="1062"/>
      <c r="AA159" s="1546"/>
      <c r="AB159" s="490"/>
      <c r="AC159" s="490"/>
      <c r="AD159" s="490"/>
      <c r="AE159" s="490"/>
    </row>
    <row r="160" spans="1:31" s="1907" customFormat="1" ht="11.25" customHeight="1">
      <c r="A160" s="897"/>
      <c r="B160" s="1550"/>
      <c r="C160" s="1550"/>
      <c r="D160" s="275"/>
      <c r="K160" s="1062"/>
      <c r="L160" s="1550"/>
      <c r="M160" s="1550"/>
      <c r="N160" s="1062"/>
      <c r="O160" s="1062"/>
      <c r="P160" s="1062"/>
      <c r="Q160" s="1062"/>
      <c r="R160" s="1550"/>
      <c r="S160" s="1062"/>
      <c r="T160" s="1062"/>
      <c r="U160" s="468"/>
      <c r="V160" s="1062"/>
      <c r="W160" s="1062"/>
      <c r="X160" s="1062"/>
      <c r="Y160" s="1062"/>
      <c r="Z160" s="1062"/>
      <c r="AA160" s="1546"/>
      <c r="AB160" s="490"/>
      <c r="AC160" s="490"/>
      <c r="AD160" s="490"/>
      <c r="AE160" s="490"/>
    </row>
    <row r="161" spans="1:31" s="1907" customFormat="1" ht="11.25" customHeight="1">
      <c r="A161" s="897"/>
      <c r="B161" s="1550"/>
      <c r="C161" s="1550"/>
      <c r="D161" s="275"/>
      <c r="K161" s="1062"/>
      <c r="L161" s="1550"/>
      <c r="M161" s="1550"/>
      <c r="N161" s="1062"/>
      <c r="O161" s="1062"/>
      <c r="P161" s="1062"/>
      <c r="Q161" s="1062"/>
      <c r="R161" s="1550"/>
      <c r="S161" s="1062"/>
      <c r="T161" s="1062"/>
      <c r="U161" s="468"/>
      <c r="V161" s="1062"/>
      <c r="W161" s="1062"/>
      <c r="X161" s="1062"/>
      <c r="Y161" s="1062"/>
      <c r="Z161" s="1062"/>
      <c r="AA161" s="1546"/>
      <c r="AB161" s="490"/>
      <c r="AC161" s="490"/>
      <c r="AD161" s="490"/>
      <c r="AE161" s="490"/>
    </row>
    <row r="162" spans="1:31" s="1907" customFormat="1" ht="11.25" customHeight="1">
      <c r="A162" s="897"/>
      <c r="B162" s="1550"/>
      <c r="C162" s="1550"/>
      <c r="D162" s="275"/>
      <c r="K162" s="1062"/>
      <c r="L162" s="1550"/>
      <c r="M162" s="1550"/>
      <c r="N162" s="1062"/>
      <c r="O162" s="1062"/>
      <c r="P162" s="1062"/>
      <c r="Q162" s="1062"/>
      <c r="R162" s="1550"/>
      <c r="S162" s="1062"/>
      <c r="T162" s="1062"/>
      <c r="U162" s="468"/>
      <c r="V162" s="1062"/>
      <c r="W162" s="1062"/>
      <c r="X162" s="1062"/>
      <c r="Y162" s="1062"/>
      <c r="Z162" s="1062"/>
      <c r="AA162" s="1546"/>
      <c r="AB162" s="490"/>
      <c r="AC162" s="490"/>
      <c r="AD162" s="490"/>
      <c r="AE162" s="490"/>
    </row>
    <row r="163" spans="1:31" s="1907" customFormat="1" ht="11.25" customHeight="1">
      <c r="A163" s="897"/>
      <c r="B163" s="1550"/>
      <c r="C163" s="1550"/>
      <c r="D163" s="275"/>
      <c r="K163" s="1062"/>
      <c r="L163" s="1550"/>
      <c r="M163" s="1550"/>
      <c r="N163" s="1062"/>
      <c r="O163" s="1062"/>
      <c r="P163" s="1062"/>
      <c r="Q163" s="1062"/>
      <c r="R163" s="1550"/>
      <c r="S163" s="1062"/>
      <c r="T163" s="1062"/>
      <c r="U163" s="468"/>
      <c r="V163" s="1062"/>
      <c r="W163" s="1062"/>
      <c r="X163" s="1062"/>
      <c r="Y163" s="1062"/>
      <c r="Z163" s="1062"/>
      <c r="AA163" s="1546"/>
      <c r="AB163" s="490"/>
      <c r="AC163" s="490"/>
      <c r="AD163" s="490"/>
      <c r="AE163" s="490"/>
    </row>
    <row r="164" spans="1:31" s="1907" customFormat="1" ht="11.25" customHeight="1">
      <c r="A164" s="897"/>
      <c r="B164" s="1550"/>
      <c r="C164" s="1550"/>
      <c r="D164" s="275"/>
      <c r="K164" s="1062"/>
      <c r="L164" s="1550"/>
      <c r="M164" s="1550"/>
      <c r="N164" s="1062"/>
      <c r="O164" s="1062"/>
      <c r="P164" s="1062"/>
      <c r="Q164" s="1062"/>
      <c r="R164" s="1550"/>
      <c r="S164" s="1062"/>
      <c r="T164" s="1062"/>
      <c r="U164" s="468"/>
      <c r="V164" s="1062"/>
      <c r="W164" s="1062"/>
      <c r="X164" s="1062"/>
      <c r="Y164" s="1062"/>
      <c r="Z164" s="1062"/>
      <c r="AA164" s="1546"/>
      <c r="AB164" s="490"/>
      <c r="AC164" s="490"/>
      <c r="AD164" s="490"/>
      <c r="AE164" s="490"/>
    </row>
    <row r="165" spans="1:31" s="1907" customFormat="1" ht="11.25" customHeight="1">
      <c r="A165" s="897"/>
      <c r="B165" s="1550"/>
      <c r="C165" s="1550"/>
      <c r="D165" s="275"/>
      <c r="K165" s="1062"/>
      <c r="L165" s="1550"/>
      <c r="M165" s="1550"/>
      <c r="N165" s="1062"/>
      <c r="O165" s="1062"/>
      <c r="P165" s="1062"/>
      <c r="Q165" s="1062"/>
      <c r="R165" s="1550"/>
      <c r="S165" s="1062"/>
      <c r="T165" s="1062"/>
      <c r="U165" s="468"/>
      <c r="V165" s="1062"/>
      <c r="W165" s="1062"/>
      <c r="X165" s="1062"/>
      <c r="Y165" s="1062"/>
      <c r="Z165" s="1062"/>
      <c r="AA165" s="1546"/>
      <c r="AB165" s="490"/>
      <c r="AC165" s="490"/>
      <c r="AD165" s="490"/>
      <c r="AE165" s="490"/>
    </row>
    <row r="166" spans="1:31" s="1907" customFormat="1" ht="11.25" customHeight="1">
      <c r="A166" s="897"/>
      <c r="B166" s="1550"/>
      <c r="C166" s="1550"/>
      <c r="D166" s="275"/>
      <c r="K166" s="1062"/>
      <c r="L166" s="1550"/>
      <c r="M166" s="1550"/>
      <c r="N166" s="1062"/>
      <c r="O166" s="1062"/>
      <c r="P166" s="1062"/>
      <c r="Q166" s="1062"/>
      <c r="R166" s="1550"/>
      <c r="S166" s="1062"/>
      <c r="T166" s="1062"/>
      <c r="U166" s="468"/>
      <c r="V166" s="1062"/>
      <c r="W166" s="1062"/>
      <c r="X166" s="1062"/>
      <c r="Y166" s="1062"/>
      <c r="Z166" s="1062"/>
      <c r="AA166" s="1546"/>
      <c r="AB166" s="490"/>
      <c r="AC166" s="490"/>
      <c r="AD166" s="490"/>
      <c r="AE166" s="490"/>
    </row>
    <row r="167" spans="1:31" s="1907" customFormat="1" ht="11.25" customHeight="1">
      <c r="A167" s="897"/>
      <c r="B167" s="1550"/>
      <c r="C167" s="1550"/>
      <c r="D167" s="275"/>
      <c r="K167" s="1062"/>
      <c r="L167" s="1550"/>
      <c r="M167" s="1550"/>
      <c r="N167" s="1062"/>
      <c r="O167" s="1062"/>
      <c r="P167" s="1062"/>
      <c r="Q167" s="1062"/>
      <c r="R167" s="1550"/>
      <c r="S167" s="1062"/>
      <c r="T167" s="1062"/>
      <c r="U167" s="468"/>
      <c r="V167" s="1062"/>
      <c r="W167" s="1062"/>
      <c r="X167" s="1062"/>
      <c r="Y167" s="1062"/>
      <c r="Z167" s="1062"/>
      <c r="AA167" s="1546"/>
      <c r="AB167" s="490"/>
      <c r="AC167" s="490"/>
      <c r="AD167" s="490"/>
      <c r="AE167" s="490"/>
    </row>
    <row r="168" spans="1:31" s="1907" customFormat="1" ht="11.25" customHeight="1">
      <c r="A168" s="897"/>
      <c r="B168" s="1550"/>
      <c r="C168" s="1550"/>
      <c r="D168" s="275"/>
      <c r="K168" s="1062"/>
      <c r="L168" s="1550"/>
      <c r="M168" s="1550"/>
      <c r="N168" s="1062"/>
      <c r="O168" s="1062"/>
      <c r="P168" s="1062"/>
      <c r="Q168" s="1062"/>
      <c r="R168" s="1550"/>
      <c r="S168" s="1062"/>
      <c r="T168" s="1062"/>
      <c r="U168" s="468"/>
      <c r="V168" s="1062"/>
      <c r="W168" s="1062"/>
      <c r="X168" s="1062"/>
      <c r="Y168" s="1062"/>
      <c r="Z168" s="1062"/>
      <c r="AA168" s="1546"/>
      <c r="AB168" s="490"/>
      <c r="AC168" s="490"/>
      <c r="AD168" s="490"/>
      <c r="AE168" s="490"/>
    </row>
    <row r="169" spans="1:31" s="1907" customFormat="1" ht="11.25" customHeight="1">
      <c r="A169" s="897"/>
      <c r="B169" s="1550"/>
      <c r="C169" s="1550"/>
      <c r="D169" s="275"/>
      <c r="K169" s="1062"/>
      <c r="L169" s="1550"/>
      <c r="M169" s="1550"/>
      <c r="N169" s="1062"/>
      <c r="O169" s="1062"/>
      <c r="P169" s="1062"/>
      <c r="Q169" s="1062"/>
      <c r="R169" s="1550"/>
      <c r="S169" s="1062"/>
      <c r="T169" s="1062"/>
      <c r="U169" s="468"/>
      <c r="V169" s="1062"/>
      <c r="W169" s="1062"/>
      <c r="X169" s="1062"/>
      <c r="Y169" s="1062"/>
      <c r="Z169" s="1062"/>
      <c r="AA169" s="1546"/>
      <c r="AB169" s="490"/>
      <c r="AC169" s="490"/>
      <c r="AD169" s="490"/>
      <c r="AE169" s="490"/>
    </row>
    <row r="170" spans="1:31" s="1907" customFormat="1" ht="11.25" customHeight="1">
      <c r="A170" s="897"/>
      <c r="B170" s="1550"/>
      <c r="C170" s="1550"/>
      <c r="D170" s="275"/>
      <c r="K170" s="1062"/>
      <c r="L170" s="1550"/>
      <c r="M170" s="1550"/>
      <c r="N170" s="1062"/>
      <c r="O170" s="1062"/>
      <c r="P170" s="1062"/>
      <c r="Q170" s="1062"/>
      <c r="R170" s="1550"/>
      <c r="S170" s="1062"/>
      <c r="T170" s="1062"/>
      <c r="U170" s="468"/>
      <c r="V170" s="1062"/>
      <c r="W170" s="1062"/>
      <c r="X170" s="1062"/>
      <c r="Y170" s="1062"/>
      <c r="Z170" s="1062"/>
      <c r="AA170" s="1546"/>
      <c r="AB170" s="490"/>
      <c r="AC170" s="490"/>
      <c r="AD170" s="490"/>
      <c r="AE170" s="490"/>
    </row>
    <row r="171" spans="1:31" s="1907" customFormat="1" ht="11.25" customHeight="1">
      <c r="A171" s="897"/>
      <c r="B171" s="1550"/>
      <c r="C171" s="1550"/>
      <c r="D171" s="275"/>
      <c r="K171" s="1062"/>
      <c r="L171" s="1550"/>
      <c r="M171" s="1550"/>
      <c r="N171" s="1062"/>
      <c r="O171" s="1062"/>
      <c r="P171" s="1062"/>
      <c r="Q171" s="1062"/>
      <c r="R171" s="1550"/>
      <c r="S171" s="1062"/>
      <c r="T171" s="1062"/>
      <c r="U171" s="468"/>
      <c r="V171" s="1062"/>
      <c r="W171" s="1062"/>
      <c r="X171" s="1062"/>
      <c r="Y171" s="1062"/>
      <c r="Z171" s="1062"/>
      <c r="AA171" s="1546"/>
      <c r="AB171" s="490"/>
      <c r="AC171" s="490"/>
      <c r="AD171" s="490"/>
      <c r="AE171" s="490"/>
    </row>
    <row r="172" spans="1:31" s="1907" customFormat="1" ht="11.25" customHeight="1">
      <c r="A172" s="897"/>
      <c r="B172" s="1550"/>
      <c r="C172" s="1550"/>
      <c r="D172" s="275"/>
      <c r="K172" s="1062"/>
      <c r="L172" s="1550"/>
      <c r="M172" s="1550"/>
      <c r="N172" s="1062"/>
      <c r="O172" s="1062"/>
      <c r="P172" s="1062"/>
      <c r="Q172" s="1062"/>
      <c r="R172" s="1550"/>
      <c r="S172" s="1062"/>
      <c r="T172" s="1062"/>
      <c r="U172" s="468"/>
      <c r="V172" s="1062"/>
      <c r="W172" s="1062"/>
      <c r="X172" s="1062"/>
      <c r="Y172" s="1062"/>
      <c r="Z172" s="1062"/>
      <c r="AA172" s="1546"/>
      <c r="AB172" s="490"/>
      <c r="AC172" s="490"/>
      <c r="AD172" s="490"/>
      <c r="AE172" s="490"/>
    </row>
    <row r="173" spans="1:31" s="1907" customFormat="1" ht="11.25" customHeight="1">
      <c r="A173" s="897"/>
      <c r="B173" s="1550"/>
      <c r="C173" s="1550"/>
      <c r="D173" s="275"/>
      <c r="K173" s="1062"/>
      <c r="L173" s="1550"/>
      <c r="M173" s="1550"/>
      <c r="N173" s="1062"/>
      <c r="O173" s="1062"/>
      <c r="P173" s="1062"/>
      <c r="Q173" s="1062"/>
      <c r="R173" s="1550"/>
      <c r="S173" s="1062"/>
      <c r="T173" s="1062"/>
      <c r="U173" s="468"/>
      <c r="V173" s="1062"/>
      <c r="W173" s="1062"/>
      <c r="X173" s="1062"/>
      <c r="Y173" s="1062"/>
      <c r="Z173" s="1062"/>
      <c r="AA173" s="1546"/>
      <c r="AB173" s="490"/>
      <c r="AC173" s="490"/>
      <c r="AD173" s="490"/>
      <c r="AE173" s="490"/>
    </row>
    <row r="174" spans="1:31" s="1907" customFormat="1" ht="11.25" customHeight="1">
      <c r="A174" s="897"/>
      <c r="B174" s="1550"/>
      <c r="C174" s="1550"/>
      <c r="D174" s="275"/>
      <c r="K174" s="1062"/>
      <c r="L174" s="1550"/>
      <c r="M174" s="1550"/>
      <c r="N174" s="1062"/>
      <c r="O174" s="1062"/>
      <c r="P174" s="1062"/>
      <c r="Q174" s="1062"/>
      <c r="R174" s="1550"/>
      <c r="S174" s="1062"/>
      <c r="T174" s="1062"/>
      <c r="U174" s="468"/>
      <c r="V174" s="1062"/>
      <c r="W174" s="1062"/>
      <c r="X174" s="1062"/>
      <c r="Y174" s="1062"/>
      <c r="Z174" s="1062"/>
      <c r="AA174" s="1546"/>
      <c r="AB174" s="490"/>
      <c r="AC174" s="490"/>
      <c r="AD174" s="490"/>
      <c r="AE174" s="490"/>
    </row>
    <row r="175" spans="1:31" s="1907" customFormat="1" ht="11.25" customHeight="1">
      <c r="A175" s="897"/>
      <c r="B175" s="1550"/>
      <c r="C175" s="1550"/>
      <c r="D175" s="275"/>
      <c r="K175" s="1062"/>
      <c r="L175" s="1550"/>
      <c r="M175" s="1550"/>
      <c r="N175" s="1062"/>
      <c r="O175" s="1062"/>
      <c r="P175" s="1062"/>
      <c r="Q175" s="1062"/>
      <c r="R175" s="1550"/>
      <c r="S175" s="1062"/>
      <c r="T175" s="1062"/>
      <c r="U175" s="468"/>
      <c r="V175" s="1062"/>
      <c r="W175" s="1062"/>
      <c r="X175" s="1062"/>
      <c r="Y175" s="1062"/>
      <c r="Z175" s="1062"/>
      <c r="AA175" s="1546"/>
      <c r="AB175" s="490"/>
      <c r="AC175" s="490"/>
      <c r="AD175" s="490"/>
      <c r="AE175" s="490"/>
    </row>
    <row r="176" spans="1:31" s="1907" customFormat="1" ht="11.25" customHeight="1">
      <c r="A176" s="897"/>
      <c r="B176" s="1550"/>
      <c r="C176" s="1550"/>
      <c r="D176" s="275"/>
      <c r="K176" s="1062"/>
      <c r="L176" s="1550"/>
      <c r="M176" s="1550"/>
      <c r="N176" s="1062"/>
      <c r="O176" s="1062"/>
      <c r="P176" s="1062"/>
      <c r="Q176" s="1062"/>
      <c r="R176" s="1550"/>
      <c r="S176" s="1062"/>
      <c r="T176" s="1062"/>
      <c r="U176" s="468"/>
      <c r="V176" s="1062"/>
      <c r="W176" s="1062"/>
      <c r="X176" s="1062"/>
      <c r="Y176" s="1062"/>
      <c r="Z176" s="1062"/>
      <c r="AA176" s="1546"/>
      <c r="AB176" s="490"/>
      <c r="AC176" s="490"/>
      <c r="AD176" s="490"/>
      <c r="AE176" s="490"/>
    </row>
    <row r="177" spans="1:31" s="1907" customFormat="1" ht="11.25" customHeight="1">
      <c r="A177" s="897"/>
      <c r="B177" s="1550"/>
      <c r="C177" s="1550"/>
      <c r="D177" s="275"/>
      <c r="K177" s="1062"/>
      <c r="L177" s="1550"/>
      <c r="M177" s="1550"/>
      <c r="N177" s="1062"/>
      <c r="O177" s="1062"/>
      <c r="P177" s="1062"/>
      <c r="Q177" s="1062"/>
      <c r="R177" s="1550"/>
      <c r="S177" s="1062"/>
      <c r="T177" s="1062"/>
      <c r="U177" s="468"/>
      <c r="V177" s="1062"/>
      <c r="W177" s="1062"/>
      <c r="X177" s="1062"/>
      <c r="Y177" s="1062"/>
      <c r="Z177" s="1062"/>
      <c r="AA177" s="1546"/>
      <c r="AB177" s="490"/>
      <c r="AC177" s="490"/>
      <c r="AD177" s="490"/>
      <c r="AE177" s="490"/>
    </row>
    <row r="178" spans="1:31" s="1907" customFormat="1" ht="11.25" customHeight="1">
      <c r="A178" s="897"/>
      <c r="B178" s="1550"/>
      <c r="C178" s="1550"/>
      <c r="D178" s="275"/>
      <c r="K178" s="1062"/>
      <c r="L178" s="1550"/>
      <c r="M178" s="1550"/>
      <c r="N178" s="1062"/>
      <c r="O178" s="1062"/>
      <c r="P178" s="1062"/>
      <c r="Q178" s="1062"/>
      <c r="R178" s="1550"/>
      <c r="S178" s="1062"/>
      <c r="T178" s="1062"/>
      <c r="U178" s="468"/>
      <c r="V178" s="1062"/>
      <c r="W178" s="1062"/>
      <c r="X178" s="1062"/>
      <c r="Y178" s="1062"/>
      <c r="Z178" s="1062"/>
      <c r="AA178" s="1546"/>
      <c r="AB178" s="490"/>
      <c r="AC178" s="490"/>
      <c r="AD178" s="490"/>
      <c r="AE178" s="490"/>
    </row>
    <row r="179" spans="1:31" s="1907" customFormat="1" ht="11.25" customHeight="1">
      <c r="A179" s="897"/>
      <c r="B179" s="1550"/>
      <c r="C179" s="1550"/>
      <c r="D179" s="275"/>
      <c r="K179" s="1062"/>
      <c r="L179" s="1550"/>
      <c r="M179" s="1550"/>
      <c r="N179" s="1062"/>
      <c r="O179" s="1062"/>
      <c r="P179" s="1062"/>
      <c r="Q179" s="1062"/>
      <c r="R179" s="1550"/>
      <c r="S179" s="1062"/>
      <c r="T179" s="1062"/>
      <c r="U179" s="468"/>
      <c r="V179" s="1062"/>
      <c r="W179" s="1062"/>
      <c r="X179" s="1062"/>
      <c r="Y179" s="1062"/>
      <c r="Z179" s="1062"/>
      <c r="AA179" s="1546"/>
      <c r="AB179" s="490"/>
      <c r="AC179" s="490"/>
      <c r="AD179" s="490"/>
      <c r="AE179" s="490"/>
    </row>
    <row r="180" spans="1:31" s="1907" customFormat="1" ht="11.25" customHeight="1">
      <c r="A180" s="897"/>
      <c r="B180" s="1550"/>
      <c r="C180" s="1550"/>
      <c r="D180" s="275"/>
      <c r="K180" s="1062"/>
      <c r="L180" s="1550"/>
      <c r="M180" s="1550"/>
      <c r="N180" s="1062"/>
      <c r="O180" s="1062"/>
      <c r="P180" s="1062"/>
      <c r="Q180" s="1062"/>
      <c r="R180" s="1550"/>
      <c r="S180" s="1062"/>
      <c r="T180" s="1062"/>
      <c r="U180" s="468"/>
      <c r="V180" s="1062"/>
      <c r="W180" s="1062"/>
      <c r="X180" s="1062"/>
      <c r="Y180" s="1062"/>
      <c r="Z180" s="1062"/>
      <c r="AA180" s="1546"/>
      <c r="AB180" s="490"/>
      <c r="AC180" s="490"/>
      <c r="AD180" s="490"/>
      <c r="AE180" s="490"/>
    </row>
    <row r="181" spans="1:31" s="1907" customFormat="1" ht="11.25" customHeight="1">
      <c r="A181" s="897"/>
      <c r="B181" s="1550"/>
      <c r="C181" s="1550"/>
      <c r="D181" s="275"/>
      <c r="K181" s="1062"/>
      <c r="L181" s="1550"/>
      <c r="M181" s="1550"/>
      <c r="N181" s="1062"/>
      <c r="O181" s="1062"/>
      <c r="P181" s="1062"/>
      <c r="Q181" s="1062"/>
      <c r="R181" s="1550"/>
      <c r="S181" s="1062"/>
      <c r="T181" s="1062"/>
      <c r="U181" s="468"/>
      <c r="V181" s="1062"/>
      <c r="W181" s="1062"/>
      <c r="X181" s="1062"/>
      <c r="Y181" s="1062"/>
      <c r="Z181" s="1062"/>
      <c r="AA181" s="1546"/>
      <c r="AB181" s="490"/>
      <c r="AC181" s="490"/>
      <c r="AD181" s="490"/>
      <c r="AE181" s="490"/>
    </row>
    <row r="182" spans="1:31" s="1907" customFormat="1" ht="11.25" customHeight="1">
      <c r="A182" s="897"/>
      <c r="B182" s="1550"/>
      <c r="C182" s="1550"/>
      <c r="D182" s="275"/>
      <c r="K182" s="1062"/>
      <c r="L182" s="1550"/>
      <c r="M182" s="1550"/>
      <c r="N182" s="1062"/>
      <c r="O182" s="1062"/>
      <c r="P182" s="1062"/>
      <c r="Q182" s="1062"/>
      <c r="R182" s="1550"/>
      <c r="S182" s="1062"/>
      <c r="T182" s="1062"/>
      <c r="U182" s="468"/>
      <c r="V182" s="1062"/>
      <c r="W182" s="1062"/>
      <c r="X182" s="1062"/>
      <c r="Y182" s="1062"/>
      <c r="Z182" s="1062"/>
      <c r="AA182" s="1546"/>
      <c r="AB182" s="490"/>
      <c r="AC182" s="490"/>
      <c r="AD182" s="490"/>
      <c r="AE182" s="490"/>
    </row>
    <row r="183" spans="1:31" s="1907" customFormat="1" ht="11.25" customHeight="1">
      <c r="A183" s="897"/>
      <c r="B183" s="1550"/>
      <c r="C183" s="1550"/>
      <c r="D183" s="275"/>
      <c r="K183" s="1062"/>
      <c r="L183" s="1550"/>
      <c r="M183" s="1550"/>
      <c r="N183" s="1062"/>
      <c r="O183" s="1062"/>
      <c r="P183" s="1062"/>
      <c r="Q183" s="1062"/>
      <c r="R183" s="1550"/>
      <c r="S183" s="1062"/>
      <c r="T183" s="1062"/>
      <c r="U183" s="468"/>
      <c r="V183" s="1062"/>
      <c r="W183" s="1062"/>
      <c r="X183" s="1062"/>
      <c r="Y183" s="1062"/>
      <c r="Z183" s="1062"/>
      <c r="AA183" s="1546"/>
      <c r="AB183" s="490"/>
      <c r="AC183" s="490"/>
      <c r="AD183" s="490"/>
      <c r="AE183" s="490"/>
    </row>
    <row r="184" spans="1:31" s="1907" customFormat="1" ht="11.25" customHeight="1">
      <c r="A184" s="897"/>
      <c r="B184" s="1550"/>
      <c r="C184" s="1550"/>
      <c r="D184" s="275"/>
      <c r="K184" s="1062"/>
      <c r="L184" s="1550"/>
      <c r="M184" s="1550"/>
      <c r="N184" s="1062"/>
      <c r="O184" s="1062"/>
      <c r="P184" s="1062"/>
      <c r="Q184" s="1062"/>
      <c r="R184" s="1550"/>
      <c r="S184" s="1062"/>
      <c r="T184" s="1062"/>
      <c r="U184" s="468"/>
      <c r="V184" s="1062"/>
      <c r="W184" s="1062"/>
      <c r="X184" s="1062"/>
      <c r="Y184" s="1062"/>
      <c r="Z184" s="1062"/>
      <c r="AA184" s="1546"/>
      <c r="AB184" s="490"/>
      <c r="AC184" s="490"/>
      <c r="AD184" s="490"/>
      <c r="AE184" s="490"/>
    </row>
    <row r="185" spans="1:31" s="1907" customFormat="1" ht="11.25" customHeight="1">
      <c r="A185" s="897"/>
      <c r="B185" s="1550"/>
      <c r="C185" s="1550"/>
      <c r="D185" s="275"/>
      <c r="K185" s="1062"/>
      <c r="L185" s="1550"/>
      <c r="M185" s="1550"/>
      <c r="N185" s="1062"/>
      <c r="O185" s="1062"/>
      <c r="P185" s="1062"/>
      <c r="Q185" s="1062"/>
      <c r="R185" s="1550"/>
      <c r="S185" s="1062"/>
      <c r="T185" s="1062"/>
      <c r="U185" s="468"/>
      <c r="V185" s="1062"/>
      <c r="W185" s="1062"/>
      <c r="X185" s="1062"/>
      <c r="Y185" s="1062"/>
      <c r="Z185" s="1062"/>
      <c r="AA185" s="1546"/>
      <c r="AB185" s="490"/>
      <c r="AC185" s="490"/>
      <c r="AD185" s="490"/>
      <c r="AE185" s="490"/>
    </row>
    <row r="186" spans="1:31" s="1907" customFormat="1" ht="11.25" customHeight="1">
      <c r="A186" s="897"/>
      <c r="B186" s="1550"/>
      <c r="C186" s="1550"/>
      <c r="D186" s="275"/>
      <c r="K186" s="1062"/>
      <c r="L186" s="1550"/>
      <c r="M186" s="1550"/>
      <c r="N186" s="1062"/>
      <c r="O186" s="1062"/>
      <c r="P186" s="1062"/>
      <c r="Q186" s="1062"/>
      <c r="R186" s="1550"/>
      <c r="S186" s="1062"/>
      <c r="T186" s="1062"/>
      <c r="U186" s="468"/>
      <c r="V186" s="1062"/>
      <c r="W186" s="1062"/>
      <c r="X186" s="1062"/>
      <c r="Y186" s="1062"/>
      <c r="Z186" s="1062"/>
      <c r="AA186" s="1546"/>
      <c r="AB186" s="490"/>
      <c r="AC186" s="490"/>
      <c r="AD186" s="490"/>
      <c r="AE186" s="490"/>
    </row>
    <row r="187" spans="1:31" s="1907" customFormat="1" ht="11.25" customHeight="1">
      <c r="A187" s="897"/>
      <c r="B187" s="1550"/>
      <c r="C187" s="1550"/>
      <c r="D187" s="275"/>
      <c r="K187" s="1062"/>
      <c r="L187" s="1550"/>
      <c r="M187" s="1550"/>
      <c r="N187" s="1062"/>
      <c r="O187" s="1062"/>
      <c r="P187" s="1062"/>
      <c r="Q187" s="1062"/>
      <c r="R187" s="1550"/>
      <c r="S187" s="1062"/>
      <c r="T187" s="1062"/>
      <c r="U187" s="468"/>
      <c r="V187" s="1062"/>
      <c r="W187" s="1062"/>
      <c r="X187" s="1062"/>
      <c r="Y187" s="1062"/>
      <c r="Z187" s="1062"/>
      <c r="AA187" s="1546"/>
      <c r="AB187" s="490"/>
      <c r="AC187" s="490"/>
      <c r="AD187" s="490"/>
      <c r="AE187" s="490"/>
    </row>
    <row r="188" spans="1:31" s="1907" customFormat="1" ht="11.25" customHeight="1">
      <c r="A188" s="897"/>
      <c r="B188" s="1550"/>
      <c r="C188" s="1550"/>
      <c r="D188" s="275"/>
      <c r="K188" s="1062"/>
      <c r="L188" s="1550"/>
      <c r="M188" s="1550"/>
      <c r="N188" s="1062"/>
      <c r="O188" s="1062"/>
      <c r="P188" s="1062"/>
      <c r="Q188" s="1062"/>
      <c r="R188" s="1550"/>
      <c r="S188" s="1062"/>
      <c r="T188" s="1062"/>
      <c r="U188" s="468"/>
      <c r="V188" s="1062"/>
      <c r="W188" s="1062"/>
      <c r="X188" s="1062"/>
      <c r="Y188" s="1062"/>
      <c r="Z188" s="1062"/>
      <c r="AA188" s="1546"/>
      <c r="AB188" s="490"/>
      <c r="AC188" s="490"/>
      <c r="AD188" s="490"/>
      <c r="AE188" s="490"/>
    </row>
    <row r="189" spans="1:31" s="1907" customFormat="1" ht="11.25" customHeight="1">
      <c r="A189" s="897"/>
      <c r="B189" s="1550"/>
      <c r="C189" s="1550"/>
      <c r="D189" s="275"/>
      <c r="K189" s="1062"/>
      <c r="L189" s="1550"/>
      <c r="M189" s="1550"/>
      <c r="N189" s="1062"/>
      <c r="O189" s="1062"/>
      <c r="P189" s="1062"/>
      <c r="Q189" s="1062"/>
      <c r="R189" s="1550"/>
      <c r="S189" s="1062"/>
      <c r="T189" s="1062"/>
      <c r="U189" s="468"/>
      <c r="V189" s="1062"/>
      <c r="W189" s="1062"/>
      <c r="X189" s="1062"/>
      <c r="Y189" s="1062"/>
      <c r="Z189" s="1062"/>
      <c r="AA189" s="1546"/>
      <c r="AB189" s="490"/>
      <c r="AC189" s="490"/>
      <c r="AD189" s="490"/>
      <c r="AE189" s="490"/>
    </row>
    <row r="190" spans="1:31" s="1907" customFormat="1" ht="11.25" customHeight="1">
      <c r="A190" s="897"/>
      <c r="B190" s="1550"/>
      <c r="C190" s="1550"/>
      <c r="D190" s="275"/>
      <c r="K190" s="1062"/>
      <c r="L190" s="1550"/>
      <c r="M190" s="1550"/>
      <c r="N190" s="1062"/>
      <c r="O190" s="1062"/>
      <c r="P190" s="1062"/>
      <c r="Q190" s="1062"/>
      <c r="R190" s="1550"/>
      <c r="S190" s="1062"/>
      <c r="T190" s="1062"/>
      <c r="U190" s="468"/>
      <c r="V190" s="1062"/>
      <c r="W190" s="1062"/>
      <c r="X190" s="1062"/>
      <c r="Y190" s="1062"/>
      <c r="Z190" s="1062"/>
      <c r="AA190" s="1546"/>
      <c r="AB190" s="490"/>
      <c r="AC190" s="490"/>
      <c r="AD190" s="490"/>
      <c r="AE190" s="490"/>
    </row>
    <row r="191" spans="1:31" s="1907" customFormat="1" ht="11.25" customHeight="1">
      <c r="A191" s="897"/>
      <c r="B191" s="1550"/>
      <c r="C191" s="1550"/>
      <c r="D191" s="275"/>
      <c r="K191" s="1062"/>
      <c r="L191" s="1550"/>
      <c r="M191" s="1550"/>
      <c r="N191" s="1062"/>
      <c r="O191" s="1062"/>
      <c r="P191" s="1062"/>
      <c r="Q191" s="1062"/>
      <c r="R191" s="1550"/>
      <c r="S191" s="1062"/>
      <c r="T191" s="1062"/>
      <c r="U191" s="468"/>
      <c r="V191" s="1062"/>
      <c r="W191" s="1062"/>
      <c r="X191" s="1062"/>
      <c r="Y191" s="1062"/>
      <c r="Z191" s="1062"/>
      <c r="AA191" s="1546"/>
      <c r="AB191" s="490"/>
      <c r="AC191" s="490"/>
      <c r="AD191" s="490"/>
      <c r="AE191" s="490"/>
    </row>
    <row r="192" spans="1:31" s="1907" customFormat="1" ht="11.25" customHeight="1">
      <c r="A192" s="897"/>
      <c r="B192" s="1550"/>
      <c r="C192" s="1550"/>
      <c r="D192" s="275"/>
      <c r="K192" s="1062"/>
      <c r="L192" s="1550"/>
      <c r="M192" s="1550"/>
      <c r="N192" s="1062"/>
      <c r="O192" s="1062"/>
      <c r="P192" s="1062"/>
      <c r="Q192" s="1062"/>
      <c r="R192" s="1550"/>
      <c r="S192" s="1062"/>
      <c r="T192" s="1062"/>
      <c r="U192" s="468"/>
      <c r="V192" s="1062"/>
      <c r="W192" s="1062"/>
      <c r="X192" s="1062"/>
      <c r="Y192" s="1062"/>
      <c r="Z192" s="1062"/>
      <c r="AA192" s="1546"/>
      <c r="AB192" s="490"/>
      <c r="AC192" s="490"/>
      <c r="AD192" s="490"/>
      <c r="AE192" s="490"/>
    </row>
    <row r="193" spans="1:31" s="1907" customFormat="1" ht="11.25" customHeight="1">
      <c r="A193" s="897"/>
      <c r="B193" s="1550"/>
      <c r="C193" s="1550"/>
      <c r="D193" s="275"/>
      <c r="K193" s="1062"/>
      <c r="L193" s="1550"/>
      <c r="M193" s="1550"/>
      <c r="N193" s="1062"/>
      <c r="O193" s="1062"/>
      <c r="P193" s="1062"/>
      <c r="Q193" s="1062"/>
      <c r="R193" s="1550"/>
      <c r="S193" s="1062"/>
      <c r="T193" s="1062"/>
      <c r="U193" s="468"/>
      <c r="V193" s="1062"/>
      <c r="W193" s="1062"/>
      <c r="X193" s="1062"/>
      <c r="Y193" s="1062"/>
      <c r="Z193" s="1062"/>
      <c r="AA193" s="1546"/>
      <c r="AB193" s="490"/>
      <c r="AC193" s="490"/>
      <c r="AD193" s="490"/>
      <c r="AE193" s="490"/>
    </row>
    <row r="194" spans="1:31" s="1907" customFormat="1" ht="11.25" customHeight="1">
      <c r="A194" s="897"/>
      <c r="B194" s="1550"/>
      <c r="C194" s="1550"/>
      <c r="D194" s="275"/>
      <c r="K194" s="1062"/>
      <c r="L194" s="1550"/>
      <c r="M194" s="1550"/>
      <c r="N194" s="1062"/>
      <c r="O194" s="1062"/>
      <c r="P194" s="1062"/>
      <c r="Q194" s="1062"/>
      <c r="R194" s="1550"/>
      <c r="S194" s="1062"/>
      <c r="T194" s="1062"/>
      <c r="U194" s="468"/>
      <c r="V194" s="1062"/>
      <c r="W194" s="1062"/>
      <c r="X194" s="1062"/>
      <c r="Y194" s="1062"/>
      <c r="Z194" s="1062"/>
      <c r="AA194" s="1546"/>
      <c r="AB194" s="490"/>
      <c r="AC194" s="490"/>
      <c r="AD194" s="490"/>
      <c r="AE194" s="490"/>
    </row>
    <row r="195" spans="1:31" s="1907" customFormat="1" ht="11.25" customHeight="1">
      <c r="A195" s="897"/>
      <c r="B195" s="1550"/>
      <c r="C195" s="1550"/>
      <c r="D195" s="275"/>
      <c r="K195" s="1062"/>
      <c r="L195" s="1550"/>
      <c r="M195" s="1550"/>
      <c r="N195" s="1062"/>
      <c r="O195" s="1062"/>
      <c r="P195" s="1062"/>
      <c r="Q195" s="1062"/>
      <c r="R195" s="1550"/>
      <c r="S195" s="1062"/>
      <c r="T195" s="1062"/>
      <c r="U195" s="468"/>
      <c r="V195" s="1062"/>
      <c r="W195" s="1062"/>
      <c r="X195" s="1062"/>
      <c r="Y195" s="1062"/>
      <c r="Z195" s="1062"/>
      <c r="AA195" s="1546"/>
      <c r="AB195" s="490"/>
      <c r="AC195" s="490"/>
      <c r="AD195" s="490"/>
      <c r="AE195" s="490"/>
    </row>
    <row r="196" spans="1:31" s="1907" customFormat="1" ht="11.25" customHeight="1">
      <c r="A196" s="897"/>
      <c r="B196" s="1550"/>
      <c r="C196" s="1550"/>
      <c r="D196" s="275"/>
      <c r="K196" s="1062"/>
      <c r="L196" s="1550"/>
      <c r="M196" s="1550"/>
      <c r="N196" s="1062"/>
      <c r="O196" s="1062"/>
      <c r="P196" s="1062"/>
      <c r="Q196" s="1062"/>
      <c r="R196" s="1550"/>
      <c r="S196" s="1062"/>
      <c r="T196" s="1062"/>
      <c r="U196" s="468"/>
      <c r="V196" s="1062"/>
      <c r="W196" s="1062"/>
      <c r="X196" s="1062"/>
      <c r="Y196" s="1062"/>
      <c r="Z196" s="1062"/>
      <c r="AA196" s="1546"/>
      <c r="AB196" s="490"/>
      <c r="AC196" s="490"/>
      <c r="AD196" s="490"/>
      <c r="AE196" s="490"/>
    </row>
    <row r="197" spans="1:31" s="1907" customFormat="1" ht="11.25" customHeight="1">
      <c r="A197" s="897"/>
      <c r="B197" s="1550"/>
      <c r="C197" s="1550"/>
      <c r="D197" s="275"/>
      <c r="K197" s="1062"/>
      <c r="L197" s="1550"/>
      <c r="M197" s="1550"/>
      <c r="N197" s="1062"/>
      <c r="O197" s="1062"/>
      <c r="P197" s="1062"/>
      <c r="Q197" s="1062"/>
      <c r="R197" s="1550"/>
      <c r="S197" s="1062"/>
      <c r="T197" s="1062"/>
      <c r="U197" s="468"/>
      <c r="V197" s="1062"/>
      <c r="W197" s="1062"/>
      <c r="X197" s="1062"/>
      <c r="Y197" s="1062"/>
      <c r="Z197" s="1062"/>
      <c r="AA197" s="1546"/>
      <c r="AB197" s="490"/>
      <c r="AC197" s="490"/>
      <c r="AD197" s="490"/>
      <c r="AE197" s="490"/>
    </row>
    <row r="198" spans="1:31" s="1907" customFormat="1" ht="11.25" customHeight="1">
      <c r="A198" s="897"/>
      <c r="B198" s="1550"/>
      <c r="C198" s="1550"/>
      <c r="D198" s="275"/>
      <c r="K198" s="1062"/>
      <c r="L198" s="1550"/>
      <c r="M198" s="1550"/>
      <c r="N198" s="1062"/>
      <c r="O198" s="1062"/>
      <c r="P198" s="1062"/>
      <c r="Q198" s="1062"/>
      <c r="R198" s="1550"/>
      <c r="S198" s="1062"/>
      <c r="T198" s="1062"/>
      <c r="U198" s="468"/>
      <c r="V198" s="1062"/>
      <c r="W198" s="1062"/>
      <c r="X198" s="1062"/>
      <c r="Y198" s="1062"/>
      <c r="Z198" s="1062"/>
      <c r="AA198" s="1546"/>
      <c r="AB198" s="490"/>
      <c r="AC198" s="490"/>
      <c r="AD198" s="490"/>
      <c r="AE198" s="490"/>
    </row>
    <row r="199" spans="1:31" s="1907" customFormat="1" ht="11.25" customHeight="1">
      <c r="A199" s="897"/>
      <c r="B199" s="1550"/>
      <c r="C199" s="1550"/>
      <c r="D199" s="275"/>
      <c r="K199" s="1062"/>
      <c r="L199" s="1550"/>
      <c r="M199" s="1550"/>
      <c r="N199" s="1062"/>
      <c r="O199" s="1062"/>
      <c r="P199" s="1062"/>
      <c r="Q199" s="1062"/>
      <c r="R199" s="1550"/>
      <c r="S199" s="1062"/>
      <c r="T199" s="1062"/>
      <c r="U199" s="468"/>
      <c r="V199" s="1062"/>
      <c r="W199" s="1062"/>
      <c r="X199" s="1062"/>
      <c r="Y199" s="1062"/>
      <c r="Z199" s="1062"/>
      <c r="AA199" s="1546"/>
      <c r="AB199" s="490"/>
      <c r="AC199" s="490"/>
      <c r="AD199" s="490"/>
      <c r="AE199" s="490"/>
    </row>
    <row r="200" spans="1:31" s="1907" customFormat="1" ht="11.25" customHeight="1">
      <c r="A200" s="897"/>
      <c r="B200" s="1550"/>
      <c r="C200" s="1550"/>
      <c r="D200" s="275"/>
      <c r="K200" s="1062"/>
      <c r="L200" s="1550"/>
      <c r="M200" s="1550"/>
      <c r="N200" s="1062"/>
      <c r="O200" s="1062"/>
      <c r="P200" s="1062"/>
      <c r="Q200" s="1062"/>
      <c r="R200" s="1550"/>
      <c r="S200" s="1062"/>
      <c r="T200" s="1062"/>
      <c r="U200" s="468"/>
      <c r="V200" s="1062"/>
      <c r="W200" s="1062"/>
      <c r="X200" s="1062"/>
      <c r="Y200" s="1062"/>
      <c r="Z200" s="1062"/>
      <c r="AA200" s="1546"/>
      <c r="AB200" s="490"/>
      <c r="AC200" s="490"/>
      <c r="AD200" s="490"/>
      <c r="AE200" s="490"/>
    </row>
    <row r="201" spans="1:31" s="1907" customFormat="1" ht="11.25" customHeight="1">
      <c r="A201" s="897"/>
      <c r="B201" s="1550"/>
      <c r="C201" s="1550"/>
      <c r="D201" s="275"/>
      <c r="K201" s="1062"/>
      <c r="L201" s="1550"/>
      <c r="M201" s="1550"/>
      <c r="N201" s="1062"/>
      <c r="O201" s="1062"/>
      <c r="P201" s="1062"/>
      <c r="Q201" s="1062"/>
      <c r="R201" s="1550"/>
      <c r="S201" s="1062"/>
      <c r="T201" s="1062"/>
      <c r="U201" s="468"/>
      <c r="V201" s="1062"/>
      <c r="W201" s="1062"/>
      <c r="X201" s="1062"/>
      <c r="Y201" s="1062"/>
      <c r="Z201" s="1062"/>
      <c r="AA201" s="1546"/>
      <c r="AB201" s="490"/>
      <c r="AC201" s="490"/>
      <c r="AD201" s="490"/>
      <c r="AE201" s="490"/>
    </row>
    <row r="202" spans="1:31" s="1907" customFormat="1" ht="11.25" customHeight="1">
      <c r="A202" s="897"/>
      <c r="B202" s="1550"/>
      <c r="C202" s="1550"/>
      <c r="D202" s="275"/>
      <c r="K202" s="1062"/>
      <c r="L202" s="1550"/>
      <c r="M202" s="1550"/>
      <c r="N202" s="1062"/>
      <c r="O202" s="1062"/>
      <c r="P202" s="1062"/>
      <c r="Q202" s="1062"/>
      <c r="R202" s="1550"/>
      <c r="S202" s="1062"/>
      <c r="T202" s="1062"/>
      <c r="U202" s="468"/>
      <c r="V202" s="1062"/>
      <c r="W202" s="1062"/>
      <c r="X202" s="1062"/>
      <c r="Y202" s="1062"/>
      <c r="Z202" s="1062"/>
      <c r="AA202" s="1546"/>
      <c r="AB202" s="490"/>
      <c r="AC202" s="490"/>
      <c r="AD202" s="490"/>
      <c r="AE202" s="490"/>
    </row>
    <row r="203" spans="1:31" s="1907" customFormat="1" ht="11.25" customHeight="1">
      <c r="A203" s="897"/>
      <c r="B203" s="1550"/>
      <c r="C203" s="1550"/>
      <c r="D203" s="275"/>
      <c r="K203" s="1062"/>
      <c r="L203" s="1550"/>
      <c r="M203" s="1550"/>
      <c r="N203" s="1062"/>
      <c r="O203" s="1062"/>
      <c r="P203" s="1062"/>
      <c r="Q203" s="1062"/>
      <c r="R203" s="1550"/>
      <c r="S203" s="1062"/>
      <c r="T203" s="1062"/>
      <c r="U203" s="468"/>
      <c r="V203" s="1062"/>
      <c r="W203" s="1062"/>
      <c r="X203" s="1062"/>
      <c r="Y203" s="1062"/>
      <c r="Z203" s="1062"/>
      <c r="AA203" s="1546"/>
      <c r="AB203" s="490"/>
      <c r="AC203" s="490"/>
      <c r="AD203" s="490"/>
      <c r="AE203" s="490"/>
    </row>
    <row r="204" spans="1:31" s="1907" customFormat="1" ht="11.25" customHeight="1">
      <c r="A204" s="897"/>
      <c r="B204" s="1550"/>
      <c r="C204" s="1550"/>
      <c r="D204" s="275"/>
      <c r="K204" s="1062"/>
      <c r="L204" s="1550"/>
      <c r="M204" s="1550"/>
      <c r="N204" s="1062"/>
      <c r="O204" s="1062"/>
      <c r="P204" s="1062"/>
      <c r="Q204" s="1062"/>
      <c r="R204" s="1550"/>
      <c r="S204" s="1062"/>
      <c r="T204" s="1062"/>
      <c r="U204" s="468"/>
      <c r="V204" s="1062"/>
      <c r="W204" s="1062"/>
      <c r="X204" s="1062"/>
      <c r="Y204" s="1062"/>
      <c r="Z204" s="1062"/>
      <c r="AA204" s="1546"/>
      <c r="AB204" s="490"/>
      <c r="AC204" s="490"/>
      <c r="AD204" s="490"/>
      <c r="AE204" s="490"/>
    </row>
    <row r="208" spans="1:31" ht="11.25" customHeight="1">
      <c r="A208" s="900"/>
      <c r="B208" s="1545"/>
      <c r="D208" s="1545"/>
      <c r="K208" s="1545"/>
      <c r="N208" s="1545"/>
      <c r="O208" s="1545"/>
      <c r="P208" s="1545"/>
      <c r="Q208" s="1545"/>
      <c r="S208" s="1545"/>
      <c r="T208" s="1545"/>
      <c r="U208" s="1545"/>
      <c r="V208" s="1545"/>
      <c r="W208" s="1545"/>
      <c r="X208" s="1545"/>
      <c r="Y208" s="1545"/>
      <c r="Z208" s="1545"/>
      <c r="AA208" s="1545"/>
      <c r="AB208" s="1545"/>
      <c r="AC208" s="1545"/>
      <c r="AD208" s="1545"/>
      <c r="AE208" s="1545"/>
    </row>
    <row r="209" spans="1:31" ht="11.25" customHeight="1">
      <c r="A209" s="900"/>
      <c r="B209" s="1545"/>
      <c r="D209" s="1545"/>
      <c r="K209" s="1545"/>
      <c r="N209" s="1545"/>
      <c r="O209" s="1545"/>
      <c r="P209" s="1545"/>
      <c r="Q209" s="1545"/>
      <c r="S209" s="1545"/>
      <c r="T209" s="1545"/>
      <c r="U209" s="1545"/>
      <c r="V209" s="1545"/>
      <c r="W209" s="1545"/>
      <c r="X209" s="1545"/>
      <c r="Y209" s="1545"/>
      <c r="Z209" s="1545"/>
      <c r="AA209" s="1545"/>
      <c r="AB209" s="1545"/>
      <c r="AC209" s="1545"/>
      <c r="AD209" s="1545"/>
      <c r="AE209" s="1545"/>
    </row>
    <row r="210" spans="1:31" ht="11.25" customHeight="1">
      <c r="A210" s="900"/>
      <c r="B210" s="1545"/>
      <c r="D210" s="1545"/>
      <c r="K210" s="1545"/>
      <c r="N210" s="1545"/>
      <c r="O210" s="1545"/>
      <c r="P210" s="1545"/>
      <c r="Q210" s="1545"/>
      <c r="S210" s="1545"/>
      <c r="T210" s="1545"/>
      <c r="U210" s="1545"/>
      <c r="V210" s="1545"/>
      <c r="W210" s="1545"/>
      <c r="X210" s="1545"/>
      <c r="Y210" s="1545"/>
      <c r="Z210" s="1545"/>
      <c r="AA210" s="1545"/>
      <c r="AB210" s="1545"/>
      <c r="AC210" s="1545"/>
      <c r="AD210" s="1545"/>
      <c r="AE210" s="1545"/>
    </row>
    <row r="211" spans="1:31" ht="11.25" customHeight="1">
      <c r="A211" s="900"/>
      <c r="B211" s="1545"/>
      <c r="D211" s="1545"/>
      <c r="K211" s="1545"/>
      <c r="N211" s="1545"/>
      <c r="O211" s="1545"/>
      <c r="P211" s="1545"/>
      <c r="Q211" s="1545"/>
      <c r="S211" s="1545"/>
      <c r="T211" s="1545"/>
      <c r="U211" s="1545"/>
      <c r="V211" s="1545"/>
      <c r="W211" s="1545"/>
      <c r="X211" s="1545"/>
      <c r="Y211" s="1545"/>
      <c r="Z211" s="1545"/>
      <c r="AA211" s="1545"/>
      <c r="AB211" s="1545"/>
      <c r="AC211" s="1545"/>
      <c r="AD211" s="1545"/>
      <c r="AE211" s="1545"/>
    </row>
    <row r="212" spans="1:31" ht="11.25" customHeight="1">
      <c r="A212" s="900"/>
      <c r="B212" s="1545"/>
      <c r="D212" s="1545"/>
      <c r="K212" s="1545"/>
      <c r="N212" s="1545"/>
      <c r="O212" s="1545"/>
      <c r="P212" s="1545"/>
      <c r="Q212" s="1545"/>
      <c r="S212" s="1545"/>
      <c r="T212" s="1545"/>
      <c r="U212" s="1545"/>
      <c r="V212" s="1545"/>
      <c r="W212" s="1545"/>
      <c r="X212" s="1545"/>
      <c r="Y212" s="1545"/>
      <c r="Z212" s="1545"/>
      <c r="AA212" s="1545"/>
      <c r="AB212" s="1545"/>
      <c r="AC212" s="1545"/>
      <c r="AD212" s="1545"/>
      <c r="AE212" s="1545"/>
    </row>
    <row r="213" spans="1:31" ht="11.25" customHeight="1">
      <c r="A213" s="900"/>
      <c r="B213" s="1545"/>
      <c r="D213" s="1545"/>
      <c r="K213" s="1545"/>
      <c r="N213" s="1545"/>
      <c r="O213" s="1545"/>
      <c r="P213" s="1545"/>
      <c r="Q213" s="1545"/>
      <c r="S213" s="1545"/>
      <c r="T213" s="1545"/>
      <c r="U213" s="1545"/>
      <c r="V213" s="1545"/>
      <c r="W213" s="1545"/>
      <c r="X213" s="1545"/>
      <c r="Y213" s="1545"/>
      <c r="Z213" s="1545"/>
      <c r="AA213" s="1545"/>
      <c r="AB213" s="1545"/>
      <c r="AC213" s="1545"/>
      <c r="AD213" s="1545"/>
      <c r="AE213" s="1545"/>
    </row>
    <row r="214" spans="1:31" ht="11.25" customHeight="1">
      <c r="A214" s="900"/>
      <c r="B214" s="1545"/>
      <c r="D214" s="1545"/>
      <c r="K214" s="1545"/>
      <c r="N214" s="1545"/>
      <c r="O214" s="1545"/>
      <c r="P214" s="1545"/>
      <c r="Q214" s="1545"/>
      <c r="S214" s="1545"/>
      <c r="T214" s="1545"/>
      <c r="U214" s="1545"/>
      <c r="V214" s="1545"/>
      <c r="W214" s="1545"/>
      <c r="X214" s="1545"/>
      <c r="Y214" s="1545"/>
      <c r="Z214" s="1545"/>
      <c r="AA214" s="1545"/>
      <c r="AB214" s="1545"/>
      <c r="AC214" s="1545"/>
      <c r="AD214" s="1545"/>
      <c r="AE214" s="1545"/>
    </row>
    <row r="215" spans="1:31" ht="11.25" customHeight="1">
      <c r="A215" s="900"/>
      <c r="B215" s="1545"/>
      <c r="D215" s="1545"/>
      <c r="K215" s="1545"/>
      <c r="N215" s="1545"/>
      <c r="O215" s="1545"/>
      <c r="P215" s="1545"/>
      <c r="Q215" s="1545"/>
      <c r="S215" s="1545"/>
      <c r="T215" s="1545"/>
      <c r="U215" s="1545"/>
      <c r="V215" s="1545"/>
      <c r="W215" s="1545"/>
      <c r="X215" s="1545"/>
      <c r="Y215" s="1545"/>
      <c r="Z215" s="1545"/>
      <c r="AA215" s="1545"/>
      <c r="AB215" s="1545"/>
      <c r="AC215" s="1545"/>
      <c r="AD215" s="1545"/>
      <c r="AE215" s="1545"/>
    </row>
    <row r="216" spans="1:31" ht="11.25" customHeight="1">
      <c r="A216" s="900"/>
      <c r="B216" s="1545"/>
      <c r="D216" s="1545"/>
      <c r="K216" s="1545"/>
      <c r="N216" s="1545"/>
      <c r="O216" s="1545"/>
      <c r="P216" s="1545"/>
      <c r="Q216" s="1545"/>
      <c r="S216" s="1545"/>
      <c r="T216" s="1545"/>
      <c r="U216" s="1545"/>
      <c r="V216" s="1545"/>
      <c r="W216" s="1545"/>
      <c r="X216" s="1545"/>
      <c r="Y216" s="1545"/>
      <c r="Z216" s="1545"/>
      <c r="AA216" s="1545"/>
      <c r="AB216" s="1545"/>
      <c r="AC216" s="1545"/>
      <c r="AD216" s="1545"/>
      <c r="AE216" s="1545"/>
    </row>
    <row r="217" spans="1:31" ht="11.25" customHeight="1">
      <c r="A217" s="900"/>
      <c r="B217" s="1545"/>
      <c r="D217" s="1545"/>
      <c r="K217" s="1545"/>
      <c r="N217" s="1545"/>
      <c r="O217" s="1545"/>
      <c r="P217" s="1545"/>
      <c r="Q217" s="1545"/>
      <c r="S217" s="1545"/>
      <c r="T217" s="1545"/>
      <c r="U217" s="1545"/>
      <c r="V217" s="1545"/>
      <c r="W217" s="1545"/>
      <c r="X217" s="1545"/>
      <c r="Y217" s="1545"/>
      <c r="Z217" s="1545"/>
      <c r="AA217" s="1545"/>
      <c r="AB217" s="1545"/>
      <c r="AC217" s="1545"/>
      <c r="AD217" s="1545"/>
      <c r="AE217" s="1545"/>
    </row>
    <row r="218" spans="1:31" ht="11.25" customHeight="1">
      <c r="A218" s="900"/>
      <c r="B218" s="1545"/>
      <c r="D218" s="1545"/>
      <c r="K218" s="1545"/>
      <c r="N218" s="1545"/>
      <c r="O218" s="1545"/>
      <c r="P218" s="1545"/>
      <c r="Q218" s="1545"/>
      <c r="S218" s="1545"/>
      <c r="T218" s="1545"/>
      <c r="U218" s="1545"/>
      <c r="V218" s="1545"/>
      <c r="W218" s="1545"/>
      <c r="X218" s="1545"/>
      <c r="Y218" s="1545"/>
      <c r="Z218" s="1545"/>
      <c r="AA218" s="1545"/>
      <c r="AB218" s="1545"/>
      <c r="AC218" s="1545"/>
      <c r="AD218" s="1545"/>
      <c r="AE218" s="1545"/>
    </row>
  </sheetData>
  <sheetProtection formatColumns="0" formatRows="0" insertRows="0" deleteColumns="0" deleteRows="0" sort="0" autoFilter="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09"/>
  <sheetViews>
    <sheetView showGridLines="0" topLeftCell="D5" zoomScale="90" workbookViewId="0"/>
  </sheetViews>
  <sheetFormatPr defaultColWidth="9.140625" defaultRowHeight="11.25" customHeight="1"/>
  <cols>
    <col min="1" max="1" width="10.7109375" style="1905" hidden="1" customWidth="1"/>
    <col min="2" max="2" width="16.85546875" style="1882" hidden="1" customWidth="1"/>
    <col min="3" max="3" width="5.5703125" style="1903" hidden="1" customWidth="1"/>
    <col min="4" max="4" width="3.7109375" style="1911" customWidth="1"/>
    <col min="5" max="5" width="7.7109375" style="1859" customWidth="1"/>
    <col min="6" max="6" width="54.5703125" style="1859" customWidth="1"/>
    <col min="7" max="7" width="10.42578125" style="1859" customWidth="1"/>
    <col min="8" max="8" width="40.7109375" style="1859" hidden="1" customWidth="1"/>
    <col min="9" max="9" width="40.7109375" style="1859" customWidth="1"/>
    <col min="10" max="10" width="102.85546875" style="1859" customWidth="1"/>
    <col min="11" max="11" width="9.7109375" style="1882" customWidth="1"/>
    <col min="12" max="12" width="5.28515625" style="1903" customWidth="1"/>
    <col min="13" max="13" width="3.7109375" style="1903" customWidth="1"/>
    <col min="14" max="17" width="3.7109375" style="1882" customWidth="1"/>
    <col min="18" max="18" width="10.5703125" style="1903" customWidth="1"/>
    <col min="19" max="19" width="34.7109375" style="1882" customWidth="1"/>
    <col min="20" max="20" width="9.42578125" style="1882" customWidth="1"/>
    <col min="21" max="21" width="9.140625" style="1906"/>
    <col min="22" max="26" width="9.140625" style="1882"/>
    <col min="27" max="31" width="9.140625" style="1858"/>
  </cols>
  <sheetData>
    <row r="1" spans="1:31" s="1882" customFormat="1" ht="11.25" hidden="1" customHeight="1">
      <c r="A1" s="897"/>
      <c r="C1" s="1550"/>
      <c r="D1" s="461"/>
      <c r="H1" s="1062">
        <v>4</v>
      </c>
      <c r="I1" s="1062">
        <v>4</v>
      </c>
      <c r="L1" s="1550"/>
      <c r="M1" s="1550"/>
      <c r="R1" s="1550"/>
    </row>
    <row r="2" spans="1:31" s="1882" customFormat="1" ht="22.5" hidden="1" customHeight="1">
      <c r="A2" s="897"/>
      <c r="C2" s="1550"/>
      <c r="D2" s="462"/>
      <c r="E2" s="1571"/>
      <c r="F2" s="464"/>
      <c r="G2" s="1570" t="s">
        <v>514</v>
      </c>
      <c r="H2" s="465"/>
      <c r="I2" s="465"/>
      <c r="J2" s="466" t="s">
        <v>517</v>
      </c>
      <c r="K2" s="467"/>
      <c r="L2" s="1550"/>
      <c r="M2" s="1550"/>
      <c r="R2" s="1550"/>
      <c r="U2" s="468"/>
      <c r="AA2" s="1546"/>
      <c r="AB2" s="1546"/>
      <c r="AC2" s="1546"/>
      <c r="AD2" s="1546"/>
      <c r="AE2" s="1546"/>
    </row>
    <row r="3" spans="1:31" ht="11.25" hidden="1" customHeight="1"/>
    <row r="4" spans="1:31" s="1858" customFormat="1" ht="11.25" hidden="1" customHeight="1">
      <c r="A4" s="897"/>
      <c r="B4" s="1062"/>
      <c r="C4" s="1550"/>
      <c r="D4" s="288"/>
      <c r="J4" s="1546">
        <v>4</v>
      </c>
      <c r="K4" s="1062"/>
      <c r="L4" s="1550"/>
      <c r="M4" s="1550"/>
      <c r="N4" s="1062"/>
      <c r="O4" s="1062"/>
      <c r="P4" s="1062"/>
      <c r="Q4" s="1062"/>
      <c r="R4" s="1550"/>
      <c r="S4" s="1062"/>
      <c r="T4" s="1062"/>
      <c r="U4" s="468"/>
      <c r="V4" s="1062"/>
      <c r="W4" s="1062"/>
      <c r="X4" s="1062"/>
      <c r="Y4" s="1062"/>
      <c r="Z4" s="1062"/>
    </row>
    <row r="6" spans="1:31" ht="32.25" customHeight="1">
      <c r="E6" s="2067" t="s">
        <v>651</v>
      </c>
      <c r="F6" s="2068"/>
      <c r="G6" s="2068"/>
      <c r="H6" s="2068"/>
      <c r="I6" s="2069"/>
      <c r="J6" s="480"/>
    </row>
    <row r="7" spans="1:31" ht="24" customHeight="1">
      <c r="E7" s="2121" t="str">
        <f>IF(org=0,"Не определено",org)</f>
        <v>ООО "Горводоканал"</v>
      </c>
      <c r="F7" s="2122"/>
      <c r="G7" s="2122"/>
      <c r="H7" s="2122"/>
      <c r="I7" s="2123"/>
    </row>
    <row r="8" spans="1:31" ht="11.25" customHeight="1">
      <c r="E8" s="1039"/>
      <c r="F8" s="1039"/>
      <c r="G8" s="1039"/>
      <c r="H8" s="1039"/>
      <c r="I8" s="1039"/>
    </row>
    <row r="9" spans="1:31" s="1903" customFormat="1" ht="0.75" customHeight="1">
      <c r="A9" s="1069"/>
      <c r="D9" s="1555"/>
      <c r="H9" s="803"/>
      <c r="I9" s="803" t="s">
        <v>99</v>
      </c>
    </row>
    <row r="10" spans="1:31" ht="11.25" customHeight="1">
      <c r="E10" s="629"/>
      <c r="F10" s="2224" t="s">
        <v>87</v>
      </c>
      <c r="G10" s="2225"/>
      <c r="H10" s="1572" t="str">
        <f>IF(H9="","",INDEX(DIFFERENTIATION_UNMERGE_VD,MATCH(H9,DIFFERENTIATION_ID_DIFF,0)))</f>
        <v/>
      </c>
      <c r="I10" s="1572">
        <f>IF(I9="","",INDEX(DIFFERENTIATION_UNMERGE_VD,MATCH(I9,DIFFERENTIATION_ID_DIFF,0)))</f>
        <v>0</v>
      </c>
      <c r="J10" s="2019"/>
    </row>
    <row r="11" spans="1:31" ht="11.25" customHeight="1">
      <c r="E11" s="629"/>
      <c r="F11" s="2224" t="s">
        <v>526</v>
      </c>
      <c r="G11" s="2225"/>
      <c r="H11" s="1572" t="str">
        <f>IF(H9="","",INDEX(DIFFERENTIATION_UNMERGE_AREA,MATCH(H9,DIFFERENTIATION_ID_DIFF,0)))</f>
        <v/>
      </c>
      <c r="I11" s="1572" t="str">
        <f>IF(I9="","",INDEX(DIFFERENTIATION_UNMERGE_AREA,MATCH(I9,DIFFERENTIATION_ID_DIFF,0)))</f>
        <v/>
      </c>
      <c r="J11" s="2019"/>
    </row>
    <row r="12" spans="1:31" ht="11.25" hidden="1" customHeight="1">
      <c r="E12" s="1575"/>
      <c r="F12" s="2238" t="s">
        <v>527</v>
      </c>
      <c r="G12" s="2239"/>
      <c r="H12" s="1576" t="str">
        <f>IF(H9="","",INDEX(DIFFERENTIATION_UNMERGE_SYSTEM,MATCH(H9,DIFFERENTIATION_ID_DIFF,0)))</f>
        <v/>
      </c>
      <c r="I12" s="1576" t="str">
        <f>IF(I9="","",INDEX(DIFFERENTIATION_UNMERGE_SYSTEM,MATCH(I9,DIFFERENTIATION_ID_DIFF,0)))</f>
        <v>без дифференциации</v>
      </c>
      <c r="J12" s="2019"/>
    </row>
    <row r="13" spans="1:31" ht="11.25" customHeight="1">
      <c r="E13" s="2226" t="s">
        <v>268</v>
      </c>
      <c r="F13" s="2227"/>
      <c r="G13" s="2227"/>
      <c r="H13" s="1569"/>
      <c r="I13" s="1569"/>
      <c r="J13" s="2019"/>
    </row>
    <row r="14" spans="1:31" ht="22.5" customHeight="1">
      <c r="E14" s="1570" t="s">
        <v>73</v>
      </c>
      <c r="F14" s="1573" t="s">
        <v>270</v>
      </c>
      <c r="G14" s="1573" t="s">
        <v>528</v>
      </c>
      <c r="H14" s="1573" t="s">
        <v>271</v>
      </c>
      <c r="I14" s="1573" t="s">
        <v>271</v>
      </c>
      <c r="J14" s="2019"/>
    </row>
    <row r="15" spans="1:31" ht="18.75" customHeight="1">
      <c r="D15" s="1552"/>
      <c r="E15" s="1544" t="s">
        <v>91</v>
      </c>
      <c r="F15" s="625" t="s">
        <v>652</v>
      </c>
      <c r="G15" s="1570" t="s">
        <v>514</v>
      </c>
      <c r="H15" s="481"/>
      <c r="I15" s="481"/>
      <c r="J15" s="206" t="s">
        <v>653</v>
      </c>
      <c r="K15" s="467" t="s">
        <v>581</v>
      </c>
    </row>
    <row r="16" spans="1:31" ht="22.5" customHeight="1">
      <c r="D16" s="1552"/>
      <c r="E16" s="1544" t="s">
        <v>92</v>
      </c>
      <c r="F16" s="1578" t="s">
        <v>654</v>
      </c>
      <c r="G16" s="1570" t="s">
        <v>514</v>
      </c>
      <c r="H16" s="482">
        <f>SUM(H17,H20:H27)</f>
        <v>0</v>
      </c>
      <c r="I16" s="482">
        <f>SUM(I17,I20:I27)</f>
        <v>0</v>
      </c>
      <c r="J16" s="206" t="s">
        <v>655</v>
      </c>
      <c r="K16" s="467" t="s">
        <v>581</v>
      </c>
    </row>
    <row r="17" spans="1:31" ht="33.75" customHeight="1">
      <c r="D17" s="1552"/>
      <c r="E17" s="1577" t="s">
        <v>584</v>
      </c>
      <c r="F17" s="1580" t="s">
        <v>656</v>
      </c>
      <c r="G17" s="1567" t="s">
        <v>514</v>
      </c>
      <c r="H17" s="481"/>
      <c r="I17" s="481"/>
      <c r="J17" s="206" t="s">
        <v>657</v>
      </c>
      <c r="K17" s="467"/>
    </row>
    <row r="18" spans="1:31" ht="18.75" customHeight="1">
      <c r="D18" s="1552"/>
      <c r="E18" s="1577" t="s">
        <v>587</v>
      </c>
      <c r="F18" s="1581" t="s">
        <v>658</v>
      </c>
      <c r="G18" s="1567" t="s">
        <v>514</v>
      </c>
      <c r="H18" s="481"/>
      <c r="I18" s="481"/>
      <c r="J18" s="206"/>
      <c r="K18" s="467"/>
    </row>
    <row r="19" spans="1:31" ht="22.5" customHeight="1">
      <c r="D19" s="1552"/>
      <c r="E19" s="1577" t="s">
        <v>590</v>
      </c>
      <c r="F19" s="1581" t="s">
        <v>659</v>
      </c>
      <c r="G19" s="1567" t="s">
        <v>514</v>
      </c>
      <c r="H19" s="481"/>
      <c r="I19" s="481"/>
      <c r="J19" s="206"/>
      <c r="K19" s="467"/>
    </row>
    <row r="20" spans="1:31" ht="33.75" customHeight="1">
      <c r="D20" s="1552"/>
      <c r="E20" s="1577" t="s">
        <v>275</v>
      </c>
      <c r="F20" s="1580" t="s">
        <v>660</v>
      </c>
      <c r="G20" s="1567" t="s">
        <v>514</v>
      </c>
      <c r="H20" s="481"/>
      <c r="I20" s="481"/>
      <c r="J20" s="206"/>
      <c r="K20" s="467"/>
    </row>
    <row r="21" spans="1:31" ht="33.75" customHeight="1">
      <c r="D21" s="1552"/>
      <c r="E21" s="1577" t="s">
        <v>278</v>
      </c>
      <c r="F21" s="1580" t="s">
        <v>661</v>
      </c>
      <c r="G21" s="1567" t="s">
        <v>514</v>
      </c>
      <c r="H21" s="481"/>
      <c r="I21" s="481"/>
      <c r="J21" s="206"/>
      <c r="K21" s="467"/>
    </row>
    <row r="22" spans="1:31" ht="56.25" customHeight="1">
      <c r="D22" s="1552"/>
      <c r="E22" s="1577" t="s">
        <v>604</v>
      </c>
      <c r="F22" s="1580" t="s">
        <v>662</v>
      </c>
      <c r="G22" s="1567" t="s">
        <v>514</v>
      </c>
      <c r="H22" s="481"/>
      <c r="I22" s="481"/>
      <c r="J22" s="206"/>
      <c r="K22" s="467"/>
    </row>
    <row r="23" spans="1:31" ht="33.75" customHeight="1">
      <c r="D23" s="1552"/>
      <c r="E23" s="1577" t="s">
        <v>611</v>
      </c>
      <c r="F23" s="1580" t="s">
        <v>663</v>
      </c>
      <c r="G23" s="1567" t="s">
        <v>514</v>
      </c>
      <c r="H23" s="481"/>
      <c r="I23" s="481"/>
      <c r="J23" s="206"/>
      <c r="K23" s="467"/>
    </row>
    <row r="24" spans="1:31" ht="33.75" customHeight="1">
      <c r="D24" s="1552"/>
      <c r="E24" s="1577" t="s">
        <v>613</v>
      </c>
      <c r="F24" s="1580" t="s">
        <v>664</v>
      </c>
      <c r="G24" s="1567" t="s">
        <v>514</v>
      </c>
      <c r="H24" s="481"/>
      <c r="I24" s="481"/>
      <c r="J24" s="206"/>
      <c r="K24" s="467"/>
    </row>
    <row r="25" spans="1:31" ht="22.5" customHeight="1">
      <c r="D25" s="1552"/>
      <c r="E25" s="1577" t="s">
        <v>615</v>
      </c>
      <c r="F25" s="1580" t="s">
        <v>665</v>
      </c>
      <c r="G25" s="1567" t="s">
        <v>514</v>
      </c>
      <c r="H25" s="481"/>
      <c r="I25" s="481"/>
      <c r="J25" s="206"/>
      <c r="K25" s="467"/>
    </row>
    <row r="26" spans="1:31" ht="67.5" customHeight="1">
      <c r="D26" s="1552"/>
      <c r="E26" s="1577" t="s">
        <v>617</v>
      </c>
      <c r="F26" s="1580" t="s">
        <v>666</v>
      </c>
      <c r="G26" s="1567" t="s">
        <v>514</v>
      </c>
      <c r="H26" s="481"/>
      <c r="I26" s="481"/>
      <c r="J26" s="206"/>
      <c r="K26" s="467"/>
    </row>
    <row r="27" spans="1:31" s="1882" customFormat="1" ht="22.5" customHeight="1">
      <c r="A27" s="897"/>
      <c r="C27" s="1550"/>
      <c r="D27" s="1552"/>
      <c r="E27" s="1543" t="s">
        <v>621</v>
      </c>
      <c r="F27" s="1542" t="s">
        <v>667</v>
      </c>
      <c r="G27" s="1568" t="s">
        <v>514</v>
      </c>
      <c r="H27" s="503">
        <f>SUM(H28:H29)</f>
        <v>0</v>
      </c>
      <c r="I27" s="503">
        <f>SUM(I28:I29)</f>
        <v>0</v>
      </c>
      <c r="J27" s="206" t="s">
        <v>619</v>
      </c>
      <c r="K27" s="467"/>
      <c r="L27" s="1550"/>
      <c r="M27" s="1550"/>
      <c r="R27" s="1550"/>
      <c r="U27" s="468"/>
      <c r="AA27" s="1546"/>
      <c r="AB27" s="1546"/>
      <c r="AC27" s="1546"/>
      <c r="AD27" s="1546"/>
      <c r="AE27" s="1546"/>
    </row>
    <row r="28" spans="1:31" s="1903" customFormat="1" ht="0.75" customHeight="1">
      <c r="A28" s="1069"/>
      <c r="D28" s="472"/>
      <c r="E28" s="720" t="str">
        <f>E27&amp;".0"</f>
        <v>2.9.0</v>
      </c>
      <c r="F28" s="901"/>
      <c r="G28" s="475"/>
      <c r="H28" s="902"/>
      <c r="I28" s="902"/>
      <c r="J28" s="903"/>
    </row>
    <row r="29" spans="1:31" s="1882" customFormat="1" ht="18.75" customHeight="1">
      <c r="A29" s="897"/>
      <c r="C29" s="1550"/>
      <c r="D29" s="1547"/>
      <c r="E29" s="494"/>
      <c r="F29" s="1579" t="s">
        <v>539</v>
      </c>
      <c r="G29" s="496"/>
      <c r="H29" s="497"/>
      <c r="I29" s="497"/>
      <c r="J29" s="218" t="s">
        <v>620</v>
      </c>
      <c r="K29" s="467"/>
      <c r="L29" s="1550"/>
      <c r="M29" s="1550"/>
      <c r="R29" s="1550"/>
      <c r="U29" s="468"/>
      <c r="AA29" s="1546"/>
      <c r="AB29" s="1546"/>
      <c r="AC29" s="1546"/>
      <c r="AD29" s="1546"/>
      <c r="AE29" s="1546"/>
    </row>
    <row r="30" spans="1:31" s="1882" customFormat="1" ht="22.5" customHeight="1">
      <c r="A30" s="897"/>
      <c r="C30" s="1550"/>
      <c r="D30" s="1552"/>
      <c r="E30" s="1577" t="s">
        <v>75</v>
      </c>
      <c r="F30" s="1574" t="s">
        <v>668</v>
      </c>
      <c r="G30" s="1567" t="s">
        <v>514</v>
      </c>
      <c r="H30" s="481"/>
      <c r="I30" s="481"/>
      <c r="J30" s="206"/>
      <c r="K30" s="467"/>
      <c r="L30" s="1550"/>
      <c r="M30" s="1550"/>
      <c r="R30" s="1550"/>
      <c r="U30" s="468"/>
      <c r="AA30" s="1546"/>
      <c r="AB30" s="1546"/>
      <c r="AC30" s="1546"/>
      <c r="AD30" s="1546"/>
      <c r="AE30" s="1546"/>
    </row>
    <row r="31" spans="1:31" s="1882" customFormat="1" ht="33.75" customHeight="1">
      <c r="A31" s="897"/>
      <c r="C31" s="1550"/>
      <c r="D31" s="499"/>
      <c r="E31" s="1577" t="s">
        <v>76</v>
      </c>
      <c r="F31" s="1574" t="s">
        <v>669</v>
      </c>
      <c r="G31" s="1567" t="s">
        <v>514</v>
      </c>
      <c r="H31" s="481"/>
      <c r="I31" s="481"/>
      <c r="J31" s="206" t="s">
        <v>670</v>
      </c>
      <c r="K31" s="467"/>
      <c r="L31" s="1550"/>
      <c r="M31" s="1550"/>
      <c r="R31" s="1550"/>
      <c r="U31" s="468"/>
      <c r="AA31" s="1546"/>
      <c r="AB31" s="1546"/>
      <c r="AC31" s="1546"/>
      <c r="AD31" s="1546"/>
      <c r="AE31" s="1546"/>
    </row>
    <row r="32" spans="1:31" s="1882" customFormat="1" ht="22.5" customHeight="1">
      <c r="A32" s="897"/>
      <c r="C32" s="1550"/>
      <c r="D32" s="1552"/>
      <c r="E32" s="1577" t="s">
        <v>629</v>
      </c>
      <c r="F32" s="609" t="s">
        <v>633</v>
      </c>
      <c r="G32" s="1567" t="s">
        <v>514</v>
      </c>
      <c r="H32" s="481"/>
      <c r="I32" s="481"/>
      <c r="J32" s="206" t="s">
        <v>671</v>
      </c>
      <c r="K32" s="467"/>
      <c r="L32" s="1550"/>
      <c r="M32" s="1550"/>
      <c r="R32" s="1550"/>
      <c r="U32" s="468"/>
      <c r="AA32" s="1546"/>
      <c r="AB32" s="1546"/>
      <c r="AC32" s="1546"/>
      <c r="AD32" s="1546"/>
      <c r="AE32" s="1546"/>
    </row>
    <row r="33" spans="1:31" s="1882" customFormat="1" ht="22.5" customHeight="1">
      <c r="A33" s="897"/>
      <c r="C33" s="1550"/>
      <c r="D33" s="1552"/>
      <c r="E33" s="1577" t="s">
        <v>672</v>
      </c>
      <c r="F33" s="609" t="s">
        <v>673</v>
      </c>
      <c r="G33" s="1567" t="s">
        <v>514</v>
      </c>
      <c r="H33" s="481"/>
      <c r="I33" s="481"/>
      <c r="J33" s="206" t="s">
        <v>674</v>
      </c>
      <c r="K33" s="467"/>
      <c r="L33" s="1550"/>
      <c r="M33" s="1550"/>
      <c r="R33" s="1550"/>
      <c r="U33" s="468"/>
      <c r="AA33" s="1546"/>
      <c r="AB33" s="1546"/>
      <c r="AC33" s="1546"/>
      <c r="AD33" s="1546"/>
      <c r="AE33" s="1546"/>
    </row>
    <row r="34" spans="1:31" s="1882" customFormat="1" ht="22.5" customHeight="1">
      <c r="A34" s="897"/>
      <c r="C34" s="1550"/>
      <c r="D34" s="1552"/>
      <c r="E34" s="1577" t="s">
        <v>675</v>
      </c>
      <c r="F34" s="609" t="s">
        <v>639</v>
      </c>
      <c r="G34" s="1567" t="s">
        <v>514</v>
      </c>
      <c r="H34" s="481"/>
      <c r="I34" s="481"/>
      <c r="J34" s="206" t="s">
        <v>676</v>
      </c>
      <c r="K34" s="467"/>
      <c r="L34" s="1550"/>
      <c r="M34" s="1550"/>
      <c r="R34" s="1550"/>
      <c r="U34" s="468"/>
      <c r="AA34" s="1546"/>
      <c r="AB34" s="1546"/>
      <c r="AC34" s="1546"/>
      <c r="AD34" s="1546"/>
      <c r="AE34" s="1546"/>
    </row>
    <row r="35" spans="1:31" s="1882" customFormat="1" ht="33.75" customHeight="1">
      <c r="A35" s="897"/>
      <c r="C35" s="1550" t="s">
        <v>550</v>
      </c>
      <c r="D35" s="1552"/>
      <c r="E35" s="1577" t="s">
        <v>93</v>
      </c>
      <c r="F35" s="1574" t="s">
        <v>641</v>
      </c>
      <c r="G35" s="1570" t="s">
        <v>274</v>
      </c>
      <c r="H35" s="334"/>
      <c r="I35" s="334"/>
      <c r="J35" s="206" t="s">
        <v>677</v>
      </c>
      <c r="K35" s="467"/>
      <c r="L35" s="1550"/>
      <c r="M35" s="1550"/>
      <c r="R35" s="1550"/>
      <c r="U35" s="468"/>
      <c r="AA35" s="1546"/>
      <c r="AB35" s="1546"/>
      <c r="AC35" s="1546"/>
      <c r="AD35" s="1546"/>
      <c r="AE35" s="1546"/>
    </row>
    <row r="36" spans="1:31" s="1882" customFormat="1" ht="22.5" customHeight="1">
      <c r="A36" s="897"/>
      <c r="C36" s="1550"/>
      <c r="D36" s="1552"/>
      <c r="E36" s="1577" t="s">
        <v>77</v>
      </c>
      <c r="F36" s="1574" t="s">
        <v>678</v>
      </c>
      <c r="G36" s="1567" t="s">
        <v>645</v>
      </c>
      <c r="H36" s="469"/>
      <c r="I36" s="469"/>
      <c r="J36" s="206" t="s">
        <v>646</v>
      </c>
      <c r="K36" s="467"/>
      <c r="L36" s="1550"/>
      <c r="M36" s="1550"/>
      <c r="R36" s="1550"/>
      <c r="U36" s="468"/>
      <c r="AA36" s="1546"/>
      <c r="AB36" s="1546"/>
      <c r="AC36" s="1546"/>
      <c r="AD36" s="1546"/>
      <c r="AE36" s="1546"/>
    </row>
    <row r="37" spans="1:31" s="1882" customFormat="1" ht="22.5" customHeight="1">
      <c r="A37" s="897"/>
      <c r="C37" s="1550"/>
      <c r="D37" s="1552"/>
      <c r="E37" s="1577" t="s">
        <v>78</v>
      </c>
      <c r="F37" s="1574" t="s">
        <v>679</v>
      </c>
      <c r="G37" s="1567" t="s">
        <v>648</v>
      </c>
      <c r="H37" s="469"/>
      <c r="I37" s="469"/>
      <c r="J37" s="206" t="s">
        <v>649</v>
      </c>
      <c r="K37" s="467"/>
      <c r="L37" s="1550"/>
      <c r="M37" s="1550"/>
      <c r="R37" s="1550"/>
      <c r="U37" s="468"/>
      <c r="AA37" s="1546"/>
      <c r="AB37" s="1546"/>
      <c r="AC37" s="1546"/>
      <c r="AD37" s="1546"/>
      <c r="AE37" s="1546"/>
    </row>
    <row r="38" spans="1:31" ht="11.25" customHeight="1">
      <c r="D38" s="1552"/>
    </row>
    <row r="39" spans="1:31" ht="26.25" customHeight="1">
      <c r="D39" s="1552"/>
      <c r="E39" s="1166" t="s">
        <v>680</v>
      </c>
      <c r="F39" s="2145" t="s">
        <v>681</v>
      </c>
      <c r="G39" s="2145"/>
      <c r="H39" s="2145"/>
      <c r="I39" s="2145"/>
      <c r="J39" s="2145"/>
    </row>
    <row r="40" spans="1:31" s="1907" customFormat="1" ht="37.5" customHeight="1">
      <c r="A40" s="897"/>
      <c r="B40" s="1550"/>
      <c r="C40" s="1550"/>
      <c r="D40" s="275"/>
      <c r="F40" s="2145" t="s">
        <v>682</v>
      </c>
      <c r="G40" s="2145"/>
      <c r="H40" s="2145"/>
      <c r="I40" s="2145"/>
      <c r="J40" s="2145"/>
      <c r="K40" s="1062"/>
      <c r="L40" s="1550"/>
      <c r="M40" s="1550"/>
      <c r="N40" s="1062"/>
      <c r="O40" s="1062"/>
      <c r="P40" s="1062"/>
      <c r="Q40" s="1062"/>
      <c r="R40" s="1550"/>
      <c r="S40" s="1062"/>
      <c r="T40" s="1062"/>
      <c r="U40" s="468"/>
      <c r="V40" s="1062"/>
      <c r="W40" s="1062"/>
      <c r="X40" s="1062"/>
      <c r="Y40" s="1062"/>
      <c r="Z40" s="1062"/>
      <c r="AA40" s="1546"/>
      <c r="AB40" s="490"/>
      <c r="AC40" s="490"/>
      <c r="AD40" s="490"/>
      <c r="AE40" s="490"/>
    </row>
    <row r="41" spans="1:31" s="1907" customFormat="1" ht="11.25" customHeight="1">
      <c r="A41" s="897"/>
      <c r="B41" s="1550"/>
      <c r="C41" s="1550"/>
      <c r="D41" s="275"/>
      <c r="K41" s="1062"/>
      <c r="L41" s="1550"/>
      <c r="M41" s="1550"/>
      <c r="N41" s="1062"/>
      <c r="O41" s="1062"/>
      <c r="P41" s="1062"/>
      <c r="Q41" s="1062"/>
      <c r="R41" s="1550"/>
      <c r="S41" s="1062"/>
      <c r="T41" s="1062"/>
      <c r="U41" s="468"/>
      <c r="V41" s="1062"/>
      <c r="W41" s="1062"/>
      <c r="X41" s="1062"/>
      <c r="Y41" s="1062"/>
      <c r="Z41" s="1062"/>
      <c r="AA41" s="1546"/>
      <c r="AB41" s="490"/>
      <c r="AC41" s="490"/>
      <c r="AD41" s="490"/>
      <c r="AE41" s="490"/>
    </row>
    <row r="42" spans="1:31" s="1907" customFormat="1" ht="11.25" customHeight="1">
      <c r="A42" s="897"/>
      <c r="B42" s="1550"/>
      <c r="C42" s="1550"/>
      <c r="D42" s="275"/>
      <c r="K42" s="1062"/>
      <c r="L42" s="1550"/>
      <c r="M42" s="1550"/>
      <c r="N42" s="1062"/>
      <c r="O42" s="1062"/>
      <c r="P42" s="1062"/>
      <c r="Q42" s="1062"/>
      <c r="R42" s="1550"/>
      <c r="S42" s="1062"/>
      <c r="T42" s="1062"/>
      <c r="U42" s="468"/>
      <c r="V42" s="1062"/>
      <c r="W42" s="1062"/>
      <c r="X42" s="1062"/>
      <c r="Y42" s="1062"/>
      <c r="Z42" s="1062"/>
      <c r="AA42" s="1546"/>
      <c r="AB42" s="490"/>
      <c r="AC42" s="490"/>
      <c r="AD42" s="490"/>
      <c r="AE42" s="490"/>
    </row>
    <row r="43" spans="1:31" s="1907" customFormat="1" ht="11.25" customHeight="1">
      <c r="A43" s="897"/>
      <c r="B43" s="1550"/>
      <c r="C43" s="1550"/>
      <c r="D43" s="275"/>
      <c r="H43" s="490"/>
      <c r="I43" s="490"/>
      <c r="K43" s="1062"/>
      <c r="L43" s="1550"/>
      <c r="M43" s="1550"/>
      <c r="N43" s="1062"/>
      <c r="O43" s="1062"/>
      <c r="P43" s="1062"/>
      <c r="Q43" s="1062"/>
      <c r="R43" s="1550"/>
      <c r="S43" s="1062"/>
      <c r="T43" s="1062"/>
      <c r="U43" s="468"/>
      <c r="V43" s="1062"/>
      <c r="W43" s="1062"/>
      <c r="X43" s="1062"/>
      <c r="Y43" s="1062"/>
      <c r="Z43" s="1062"/>
      <c r="AA43" s="1546"/>
      <c r="AB43" s="490"/>
      <c r="AC43" s="490"/>
      <c r="AD43" s="490"/>
      <c r="AE43" s="490"/>
    </row>
    <row r="44" spans="1:31" s="1907" customFormat="1" ht="11.25" customHeight="1">
      <c r="A44" s="897"/>
      <c r="B44" s="1550"/>
      <c r="C44" s="1550"/>
      <c r="D44" s="275"/>
      <c r="K44" s="1062"/>
      <c r="L44" s="1550"/>
      <c r="M44" s="1550"/>
      <c r="N44" s="1062"/>
      <c r="O44" s="1062"/>
      <c r="P44" s="1062"/>
      <c r="Q44" s="1062"/>
      <c r="R44" s="1550"/>
      <c r="S44" s="1062"/>
      <c r="T44" s="1062"/>
      <c r="U44" s="468"/>
      <c r="V44" s="1062"/>
      <c r="W44" s="1062"/>
      <c r="X44" s="1062"/>
      <c r="Y44" s="1062"/>
      <c r="Z44" s="1062"/>
      <c r="AA44" s="1546"/>
      <c r="AB44" s="490"/>
      <c r="AC44" s="490"/>
      <c r="AD44" s="490"/>
      <c r="AE44" s="490"/>
    </row>
    <row r="45" spans="1:31" s="1907" customFormat="1" ht="11.25" customHeight="1">
      <c r="A45" s="897"/>
      <c r="B45" s="1550"/>
      <c r="C45" s="1550"/>
      <c r="D45" s="275"/>
      <c r="K45" s="1062"/>
      <c r="L45" s="1550"/>
      <c r="M45" s="1550"/>
      <c r="N45" s="1062"/>
      <c r="O45" s="1062"/>
      <c r="P45" s="1062"/>
      <c r="Q45" s="1062"/>
      <c r="R45" s="1550"/>
      <c r="S45" s="1062"/>
      <c r="T45" s="1062"/>
      <c r="U45" s="468"/>
      <c r="V45" s="1062"/>
      <c r="W45" s="1062"/>
      <c r="X45" s="1062"/>
      <c r="Y45" s="1062"/>
      <c r="Z45" s="1062"/>
      <c r="AA45" s="1546"/>
      <c r="AB45" s="490"/>
      <c r="AC45" s="490"/>
      <c r="AD45" s="490"/>
      <c r="AE45" s="490"/>
    </row>
    <row r="46" spans="1:31" s="1907" customFormat="1" ht="11.25" customHeight="1">
      <c r="A46" s="897"/>
      <c r="B46" s="1550"/>
      <c r="C46" s="1550"/>
      <c r="D46" s="275"/>
      <c r="K46" s="1062"/>
      <c r="L46" s="1550"/>
      <c r="M46" s="1550"/>
      <c r="N46" s="1062"/>
      <c r="O46" s="1062"/>
      <c r="P46" s="1062"/>
      <c r="Q46" s="1062"/>
      <c r="R46" s="1550"/>
      <c r="S46" s="1062"/>
      <c r="T46" s="1062"/>
      <c r="U46" s="468"/>
      <c r="V46" s="1062"/>
      <c r="W46" s="1062"/>
      <c r="X46" s="1062"/>
      <c r="Y46" s="1062"/>
      <c r="Z46" s="1062"/>
      <c r="AA46" s="1546"/>
      <c r="AB46" s="490"/>
      <c r="AC46" s="490"/>
      <c r="AD46" s="490"/>
      <c r="AE46" s="490"/>
    </row>
    <row r="47" spans="1:31" s="1907" customFormat="1" ht="11.25" customHeight="1">
      <c r="A47" s="897"/>
      <c r="B47" s="1550"/>
      <c r="C47" s="1550"/>
      <c r="D47" s="275"/>
      <c r="K47" s="1062"/>
      <c r="L47" s="1550"/>
      <c r="M47" s="1550"/>
      <c r="N47" s="1062"/>
      <c r="O47" s="1062"/>
      <c r="P47" s="1062"/>
      <c r="Q47" s="1062"/>
      <c r="R47" s="1550"/>
      <c r="S47" s="1062"/>
      <c r="T47" s="1062"/>
      <c r="U47" s="468"/>
      <c r="V47" s="1062"/>
      <c r="W47" s="1062"/>
      <c r="X47" s="1062"/>
      <c r="Y47" s="1062"/>
      <c r="Z47" s="1062"/>
      <c r="AA47" s="1546"/>
      <c r="AB47" s="490"/>
      <c r="AC47" s="490"/>
      <c r="AD47" s="490"/>
      <c r="AE47" s="490"/>
    </row>
    <row r="48" spans="1:31" s="1907" customFormat="1" ht="11.25" customHeight="1">
      <c r="A48" s="897"/>
      <c r="B48" s="1550"/>
      <c r="C48" s="1550"/>
      <c r="D48" s="275"/>
      <c r="K48" s="1062"/>
      <c r="L48" s="1550"/>
      <c r="M48" s="1550"/>
      <c r="N48" s="1062"/>
      <c r="O48" s="1062"/>
      <c r="P48" s="1062"/>
      <c r="Q48" s="1062"/>
      <c r="R48" s="1550"/>
      <c r="S48" s="1062"/>
      <c r="T48" s="1062"/>
      <c r="U48" s="468"/>
      <c r="V48" s="1062"/>
      <c r="W48" s="1062"/>
      <c r="X48" s="1062"/>
      <c r="Y48" s="1062"/>
      <c r="Z48" s="1062"/>
      <c r="AA48" s="1546"/>
      <c r="AB48" s="490"/>
      <c r="AC48" s="490"/>
      <c r="AD48" s="490"/>
      <c r="AE48" s="490"/>
    </row>
    <row r="49" spans="1:31" s="1907" customFormat="1" ht="11.25" customHeight="1">
      <c r="A49" s="897"/>
      <c r="B49" s="1550"/>
      <c r="C49" s="1550"/>
      <c r="D49" s="275"/>
      <c r="K49" s="1062"/>
      <c r="L49" s="1550"/>
      <c r="M49" s="1550"/>
      <c r="N49" s="1062"/>
      <c r="O49" s="1062"/>
      <c r="P49" s="1062"/>
      <c r="Q49" s="1062"/>
      <c r="R49" s="1550"/>
      <c r="S49" s="1062"/>
      <c r="T49" s="1062"/>
      <c r="U49" s="468"/>
      <c r="V49" s="1062"/>
      <c r="W49" s="1062"/>
      <c r="X49" s="1062"/>
      <c r="Y49" s="1062"/>
      <c r="Z49" s="1062"/>
      <c r="AA49" s="1546"/>
      <c r="AB49" s="490"/>
      <c r="AC49" s="490"/>
      <c r="AD49" s="490"/>
      <c r="AE49" s="490"/>
    </row>
    <row r="50" spans="1:31" s="1907" customFormat="1" ht="11.25" customHeight="1">
      <c r="A50" s="897"/>
      <c r="B50" s="1550"/>
      <c r="C50" s="1550"/>
      <c r="D50" s="275"/>
      <c r="K50" s="1062"/>
      <c r="L50" s="1550"/>
      <c r="M50" s="1550"/>
      <c r="N50" s="1062"/>
      <c r="O50" s="1062"/>
      <c r="P50" s="1062"/>
      <c r="Q50" s="1062"/>
      <c r="R50" s="1550"/>
      <c r="S50" s="1062"/>
      <c r="T50" s="1062"/>
      <c r="U50" s="468"/>
      <c r="V50" s="1062"/>
      <c r="W50" s="1062"/>
      <c r="X50" s="1062"/>
      <c r="Y50" s="1062"/>
      <c r="Z50" s="1062"/>
      <c r="AA50" s="1546"/>
      <c r="AB50" s="490"/>
      <c r="AC50" s="490"/>
      <c r="AD50" s="490"/>
      <c r="AE50" s="490"/>
    </row>
    <row r="51" spans="1:31" s="1907" customFormat="1" ht="11.25" customHeight="1">
      <c r="A51" s="897"/>
      <c r="B51" s="1550"/>
      <c r="C51" s="1550"/>
      <c r="D51" s="275"/>
      <c r="K51" s="1062"/>
      <c r="L51" s="1550"/>
      <c r="M51" s="1550"/>
      <c r="N51" s="1062"/>
      <c r="O51" s="1062"/>
      <c r="P51" s="1062"/>
      <c r="Q51" s="1062"/>
      <c r="R51" s="1550"/>
      <c r="S51" s="1062"/>
      <c r="T51" s="1062"/>
      <c r="U51" s="468"/>
      <c r="V51" s="1062"/>
      <c r="W51" s="1062"/>
      <c r="X51" s="1062"/>
      <c r="Y51" s="1062"/>
      <c r="Z51" s="1062"/>
      <c r="AA51" s="1546"/>
      <c r="AB51" s="490"/>
      <c r="AC51" s="490"/>
      <c r="AD51" s="490"/>
      <c r="AE51" s="490"/>
    </row>
    <row r="52" spans="1:31" s="1907" customFormat="1" ht="11.25" customHeight="1">
      <c r="A52" s="897"/>
      <c r="B52" s="1550"/>
      <c r="C52" s="1550"/>
      <c r="D52" s="275"/>
      <c r="K52" s="1062"/>
      <c r="L52" s="1550"/>
      <c r="M52" s="1550"/>
      <c r="N52" s="1062"/>
      <c r="O52" s="1062"/>
      <c r="P52" s="1062"/>
      <c r="Q52" s="1062"/>
      <c r="R52" s="1550"/>
      <c r="S52" s="1062"/>
      <c r="T52" s="1062"/>
      <c r="U52" s="468"/>
      <c r="V52" s="1062"/>
      <c r="W52" s="1062"/>
      <c r="X52" s="1062"/>
      <c r="Y52" s="1062"/>
      <c r="Z52" s="1062"/>
      <c r="AA52" s="1546"/>
      <c r="AB52" s="490"/>
      <c r="AC52" s="490"/>
      <c r="AD52" s="490"/>
      <c r="AE52" s="490"/>
    </row>
    <row r="53" spans="1:31" s="1907" customFormat="1" ht="11.25" customHeight="1">
      <c r="A53" s="897"/>
      <c r="B53" s="1550"/>
      <c r="C53" s="1550"/>
      <c r="D53" s="275"/>
      <c r="K53" s="1062"/>
      <c r="L53" s="1550"/>
      <c r="M53" s="1550"/>
      <c r="N53" s="1062"/>
      <c r="O53" s="1062"/>
      <c r="P53" s="1062"/>
      <c r="Q53" s="1062"/>
      <c r="R53" s="1550"/>
      <c r="S53" s="1062"/>
      <c r="T53" s="1062"/>
      <c r="U53" s="468"/>
      <c r="V53" s="1062"/>
      <c r="W53" s="1062"/>
      <c r="X53" s="1062"/>
      <c r="Y53" s="1062"/>
      <c r="Z53" s="1062"/>
      <c r="AA53" s="1546"/>
      <c r="AB53" s="490"/>
      <c r="AC53" s="490"/>
      <c r="AD53" s="490"/>
      <c r="AE53" s="490"/>
    </row>
    <row r="54" spans="1:31" s="1907" customFormat="1" ht="11.25" customHeight="1">
      <c r="A54" s="897"/>
      <c r="B54" s="1550"/>
      <c r="C54" s="1550"/>
      <c r="D54" s="275"/>
      <c r="K54" s="1062"/>
      <c r="L54" s="1550"/>
      <c r="M54" s="1550"/>
      <c r="N54" s="1062"/>
      <c r="O54" s="1062"/>
      <c r="P54" s="1062"/>
      <c r="Q54" s="1062"/>
      <c r="R54" s="1550"/>
      <c r="S54" s="1062"/>
      <c r="T54" s="1062"/>
      <c r="U54" s="468"/>
      <c r="V54" s="1062"/>
      <c r="W54" s="1062"/>
      <c r="X54" s="1062"/>
      <c r="Y54" s="1062"/>
      <c r="Z54" s="1062"/>
      <c r="AA54" s="1546"/>
      <c r="AB54" s="490"/>
      <c r="AC54" s="490"/>
      <c r="AD54" s="490"/>
      <c r="AE54" s="490"/>
    </row>
    <row r="55" spans="1:31" s="1907" customFormat="1" ht="11.25" customHeight="1">
      <c r="A55" s="897"/>
      <c r="B55" s="1550"/>
      <c r="C55" s="1550"/>
      <c r="D55" s="275"/>
      <c r="K55" s="1062"/>
      <c r="L55" s="1550"/>
      <c r="M55" s="1550"/>
      <c r="N55" s="1062"/>
      <c r="O55" s="1062"/>
      <c r="P55" s="1062"/>
      <c r="Q55" s="1062"/>
      <c r="R55" s="1550"/>
      <c r="S55" s="1062"/>
      <c r="T55" s="1062"/>
      <c r="U55" s="468"/>
      <c r="V55" s="1062"/>
      <c r="W55" s="1062"/>
      <c r="X55" s="1062"/>
      <c r="Y55" s="1062"/>
      <c r="Z55" s="1062"/>
      <c r="AA55" s="1546"/>
      <c r="AB55" s="490"/>
      <c r="AC55" s="490"/>
      <c r="AD55" s="490"/>
      <c r="AE55" s="490"/>
    </row>
    <row r="56" spans="1:31" s="1907" customFormat="1" ht="11.25" customHeight="1">
      <c r="A56" s="897"/>
      <c r="B56" s="1550"/>
      <c r="C56" s="1550"/>
      <c r="D56" s="275"/>
      <c r="K56" s="1062"/>
      <c r="L56" s="1550"/>
      <c r="M56" s="1550"/>
      <c r="N56" s="1062"/>
      <c r="O56" s="1062"/>
      <c r="P56" s="1062"/>
      <c r="Q56" s="1062"/>
      <c r="R56" s="1550"/>
      <c r="S56" s="1062"/>
      <c r="T56" s="1062"/>
      <c r="U56" s="468"/>
      <c r="V56" s="1062"/>
      <c r="W56" s="1062"/>
      <c r="X56" s="1062"/>
      <c r="Y56" s="1062"/>
      <c r="Z56" s="1062"/>
      <c r="AA56" s="1546"/>
      <c r="AB56" s="490"/>
      <c r="AC56" s="490"/>
      <c r="AD56" s="490"/>
      <c r="AE56" s="490"/>
    </row>
    <row r="57" spans="1:31" s="1907" customFormat="1" ht="11.25" customHeight="1">
      <c r="A57" s="897"/>
      <c r="B57" s="1550"/>
      <c r="C57" s="1550"/>
      <c r="D57" s="275"/>
      <c r="K57" s="1062"/>
      <c r="L57" s="1550"/>
      <c r="M57" s="1550"/>
      <c r="N57" s="1062"/>
      <c r="O57" s="1062"/>
      <c r="P57" s="1062"/>
      <c r="Q57" s="1062"/>
      <c r="R57" s="1550"/>
      <c r="S57" s="1062"/>
      <c r="T57" s="1062"/>
      <c r="U57" s="468"/>
      <c r="V57" s="1062"/>
      <c r="W57" s="1062"/>
      <c r="X57" s="1062"/>
      <c r="Y57" s="1062"/>
      <c r="Z57" s="1062"/>
      <c r="AA57" s="1546"/>
      <c r="AB57" s="490"/>
      <c r="AC57" s="490"/>
      <c r="AD57" s="490"/>
      <c r="AE57" s="490"/>
    </row>
    <row r="58" spans="1:31" s="1907" customFormat="1" ht="11.25" customHeight="1">
      <c r="A58" s="897"/>
      <c r="B58" s="1550"/>
      <c r="C58" s="1550"/>
      <c r="D58" s="275"/>
      <c r="K58" s="1062"/>
      <c r="L58" s="1550"/>
      <c r="M58" s="1550"/>
      <c r="N58" s="1062"/>
      <c r="O58" s="1062"/>
      <c r="P58" s="1062"/>
      <c r="Q58" s="1062"/>
      <c r="R58" s="1550"/>
      <c r="S58" s="1062"/>
      <c r="T58" s="1062"/>
      <c r="U58" s="468"/>
      <c r="V58" s="1062"/>
      <c r="W58" s="1062"/>
      <c r="X58" s="1062"/>
      <c r="Y58" s="1062"/>
      <c r="Z58" s="1062"/>
      <c r="AA58" s="1546"/>
      <c r="AB58" s="490"/>
      <c r="AC58" s="490"/>
      <c r="AD58" s="490"/>
      <c r="AE58" s="490"/>
    </row>
    <row r="59" spans="1:31" s="1907" customFormat="1" ht="11.25" customHeight="1">
      <c r="A59" s="897"/>
      <c r="B59" s="1550"/>
      <c r="C59" s="1550"/>
      <c r="D59" s="275"/>
      <c r="K59" s="1062"/>
      <c r="L59" s="1550"/>
      <c r="M59" s="1550"/>
      <c r="N59" s="1062"/>
      <c r="O59" s="1062"/>
      <c r="P59" s="1062"/>
      <c r="Q59" s="1062"/>
      <c r="R59" s="1550"/>
      <c r="S59" s="1062"/>
      <c r="T59" s="1062"/>
      <c r="U59" s="468"/>
      <c r="V59" s="1062"/>
      <c r="W59" s="1062"/>
      <c r="X59" s="1062"/>
      <c r="Y59" s="1062"/>
      <c r="Z59" s="1062"/>
      <c r="AA59" s="1546"/>
      <c r="AB59" s="490"/>
      <c r="AC59" s="490"/>
      <c r="AD59" s="490"/>
      <c r="AE59" s="490"/>
    </row>
    <row r="60" spans="1:31" s="1907" customFormat="1" ht="11.25" customHeight="1">
      <c r="A60" s="897"/>
      <c r="B60" s="1550"/>
      <c r="C60" s="1550"/>
      <c r="D60" s="275"/>
      <c r="K60" s="1062"/>
      <c r="L60" s="1550"/>
      <c r="M60" s="1550"/>
      <c r="N60" s="1062"/>
      <c r="O60" s="1062"/>
      <c r="P60" s="1062"/>
      <c r="Q60" s="1062"/>
      <c r="R60" s="1550"/>
      <c r="S60" s="1062"/>
      <c r="T60" s="1062"/>
      <c r="U60" s="468"/>
      <c r="V60" s="1062"/>
      <c r="W60" s="1062"/>
      <c r="X60" s="1062"/>
      <c r="Y60" s="1062"/>
      <c r="Z60" s="1062"/>
      <c r="AA60" s="1546"/>
      <c r="AB60" s="490"/>
      <c r="AC60" s="490"/>
      <c r="AD60" s="490"/>
      <c r="AE60" s="490"/>
    </row>
    <row r="61" spans="1:31" s="1907" customFormat="1" ht="11.25" customHeight="1">
      <c r="A61" s="897"/>
      <c r="B61" s="1550"/>
      <c r="C61" s="1550"/>
      <c r="D61" s="275"/>
      <c r="K61" s="1062"/>
      <c r="L61" s="1550"/>
      <c r="M61" s="1550"/>
      <c r="N61" s="1062"/>
      <c r="O61" s="1062"/>
      <c r="P61" s="1062"/>
      <c r="Q61" s="1062"/>
      <c r="R61" s="1550"/>
      <c r="S61" s="1062"/>
      <c r="T61" s="1062"/>
      <c r="U61" s="468"/>
      <c r="V61" s="1062"/>
      <c r="W61" s="1062"/>
      <c r="X61" s="1062"/>
      <c r="Y61" s="1062"/>
      <c r="Z61" s="1062"/>
      <c r="AA61" s="1546"/>
      <c r="AB61" s="490"/>
      <c r="AC61" s="490"/>
      <c r="AD61" s="490"/>
      <c r="AE61" s="490"/>
    </row>
    <row r="62" spans="1:31" s="1907" customFormat="1" ht="11.25" customHeight="1">
      <c r="A62" s="897"/>
      <c r="B62" s="1550"/>
      <c r="C62" s="1550"/>
      <c r="D62" s="275"/>
      <c r="K62" s="1062"/>
      <c r="L62" s="1550"/>
      <c r="M62" s="1550"/>
      <c r="N62" s="1062"/>
      <c r="O62" s="1062"/>
      <c r="P62" s="1062"/>
      <c r="Q62" s="1062"/>
      <c r="R62" s="1550"/>
      <c r="S62" s="1062"/>
      <c r="T62" s="1062"/>
      <c r="U62" s="468"/>
      <c r="V62" s="1062"/>
      <c r="W62" s="1062"/>
      <c r="X62" s="1062"/>
      <c r="Y62" s="1062"/>
      <c r="Z62" s="1062"/>
      <c r="AA62" s="1546"/>
      <c r="AB62" s="490"/>
      <c r="AC62" s="490"/>
      <c r="AD62" s="490"/>
      <c r="AE62" s="490"/>
    </row>
    <row r="63" spans="1:31" s="1907" customFormat="1" ht="11.25" customHeight="1">
      <c r="A63" s="897"/>
      <c r="B63" s="1550"/>
      <c r="C63" s="1550"/>
      <c r="D63" s="275"/>
      <c r="K63" s="1062"/>
      <c r="L63" s="1550"/>
      <c r="M63" s="1550"/>
      <c r="N63" s="1062"/>
      <c r="O63" s="1062"/>
      <c r="P63" s="1062"/>
      <c r="Q63" s="1062"/>
      <c r="R63" s="1550"/>
      <c r="S63" s="1062"/>
      <c r="T63" s="1062"/>
      <c r="U63" s="468"/>
      <c r="V63" s="1062"/>
      <c r="W63" s="1062"/>
      <c r="X63" s="1062"/>
      <c r="Y63" s="1062"/>
      <c r="Z63" s="1062"/>
      <c r="AA63" s="1546"/>
      <c r="AB63" s="490"/>
      <c r="AC63" s="490"/>
      <c r="AD63" s="490"/>
      <c r="AE63" s="490"/>
    </row>
    <row r="64" spans="1:31" s="1907" customFormat="1" ht="11.25" customHeight="1">
      <c r="A64" s="897"/>
      <c r="B64" s="1550"/>
      <c r="C64" s="1550"/>
      <c r="D64" s="275"/>
      <c r="K64" s="1062"/>
      <c r="L64" s="1550"/>
      <c r="M64" s="1550"/>
      <c r="N64" s="1062"/>
      <c r="O64" s="1062"/>
      <c r="P64" s="1062"/>
      <c r="Q64" s="1062"/>
      <c r="R64" s="1550"/>
      <c r="S64" s="1062"/>
      <c r="T64" s="1062"/>
      <c r="U64" s="468"/>
      <c r="V64" s="1062"/>
      <c r="W64" s="1062"/>
      <c r="X64" s="1062"/>
      <c r="Y64" s="1062"/>
      <c r="Z64" s="1062"/>
      <c r="AA64" s="1546"/>
      <c r="AB64" s="490"/>
      <c r="AC64" s="490"/>
      <c r="AD64" s="490"/>
      <c r="AE64" s="490"/>
    </row>
    <row r="65" spans="1:31" s="1907" customFormat="1" ht="11.25" customHeight="1">
      <c r="A65" s="897"/>
      <c r="B65" s="1550"/>
      <c r="C65" s="1550"/>
      <c r="D65" s="275"/>
      <c r="K65" s="1062"/>
      <c r="L65" s="1550"/>
      <c r="M65" s="1550"/>
      <c r="N65" s="1062"/>
      <c r="O65" s="1062"/>
      <c r="P65" s="1062"/>
      <c r="Q65" s="1062"/>
      <c r="R65" s="1550"/>
      <c r="S65" s="1062"/>
      <c r="T65" s="1062"/>
      <c r="U65" s="468"/>
      <c r="V65" s="1062"/>
      <c r="W65" s="1062"/>
      <c r="X65" s="1062"/>
      <c r="Y65" s="1062"/>
      <c r="Z65" s="1062"/>
      <c r="AA65" s="1546"/>
      <c r="AB65" s="490"/>
      <c r="AC65" s="490"/>
      <c r="AD65" s="490"/>
      <c r="AE65" s="490"/>
    </row>
    <row r="66" spans="1:31" s="1907" customFormat="1" ht="11.25" customHeight="1">
      <c r="A66" s="897"/>
      <c r="B66" s="1550"/>
      <c r="C66" s="1550"/>
      <c r="D66" s="275"/>
      <c r="K66" s="1062"/>
      <c r="L66" s="1550"/>
      <c r="M66" s="1550"/>
      <c r="N66" s="1062"/>
      <c r="O66" s="1062"/>
      <c r="P66" s="1062"/>
      <c r="Q66" s="1062"/>
      <c r="R66" s="1550"/>
      <c r="S66" s="1062"/>
      <c r="T66" s="1062"/>
      <c r="U66" s="468"/>
      <c r="V66" s="1062"/>
      <c r="W66" s="1062"/>
      <c r="X66" s="1062"/>
      <c r="Y66" s="1062"/>
      <c r="Z66" s="1062"/>
      <c r="AA66" s="1546"/>
      <c r="AB66" s="490"/>
      <c r="AC66" s="490"/>
      <c r="AD66" s="490"/>
      <c r="AE66" s="490"/>
    </row>
    <row r="67" spans="1:31" s="1907" customFormat="1" ht="11.25" customHeight="1">
      <c r="A67" s="897"/>
      <c r="B67" s="1550"/>
      <c r="C67" s="1550"/>
      <c r="D67" s="275"/>
      <c r="K67" s="1062"/>
      <c r="L67" s="1550"/>
      <c r="M67" s="1550"/>
      <c r="N67" s="1062"/>
      <c r="O67" s="1062"/>
      <c r="P67" s="1062"/>
      <c r="Q67" s="1062"/>
      <c r="R67" s="1550"/>
      <c r="S67" s="1062"/>
      <c r="T67" s="1062"/>
      <c r="U67" s="468"/>
      <c r="V67" s="1062"/>
      <c r="W67" s="1062"/>
      <c r="X67" s="1062"/>
      <c r="Y67" s="1062"/>
      <c r="Z67" s="1062"/>
      <c r="AA67" s="1546"/>
      <c r="AB67" s="490"/>
      <c r="AC67" s="490"/>
      <c r="AD67" s="490"/>
      <c r="AE67" s="490"/>
    </row>
    <row r="68" spans="1:31" s="1907" customFormat="1" ht="11.25" customHeight="1">
      <c r="A68" s="897"/>
      <c r="B68" s="1550"/>
      <c r="C68" s="1550"/>
      <c r="D68" s="275"/>
      <c r="K68" s="1062"/>
      <c r="L68" s="1550"/>
      <c r="M68" s="1550"/>
      <c r="N68" s="1062"/>
      <c r="O68" s="1062"/>
      <c r="P68" s="1062"/>
      <c r="Q68" s="1062"/>
      <c r="R68" s="1550"/>
      <c r="S68" s="1062"/>
      <c r="T68" s="1062"/>
      <c r="U68" s="468"/>
      <c r="V68" s="1062"/>
      <c r="W68" s="1062"/>
      <c r="X68" s="1062"/>
      <c r="Y68" s="1062"/>
      <c r="Z68" s="1062"/>
      <c r="AA68" s="1546"/>
      <c r="AB68" s="490"/>
      <c r="AC68" s="490"/>
      <c r="AD68" s="490"/>
      <c r="AE68" s="490"/>
    </row>
    <row r="69" spans="1:31" s="1907" customFormat="1" ht="11.25" customHeight="1">
      <c r="A69" s="897"/>
      <c r="B69" s="1550"/>
      <c r="C69" s="1550"/>
      <c r="D69" s="275"/>
      <c r="K69" s="1062"/>
      <c r="L69" s="1550"/>
      <c r="M69" s="1550"/>
      <c r="N69" s="1062"/>
      <c r="O69" s="1062"/>
      <c r="P69" s="1062"/>
      <c r="Q69" s="1062"/>
      <c r="R69" s="1550"/>
      <c r="S69" s="1062"/>
      <c r="T69" s="1062"/>
      <c r="U69" s="468"/>
      <c r="V69" s="1062"/>
      <c r="W69" s="1062"/>
      <c r="X69" s="1062"/>
      <c r="Y69" s="1062"/>
      <c r="Z69" s="1062"/>
      <c r="AA69" s="1546"/>
      <c r="AB69" s="490"/>
      <c r="AC69" s="490"/>
      <c r="AD69" s="490"/>
      <c r="AE69" s="490"/>
    </row>
    <row r="70" spans="1:31" s="1907" customFormat="1" ht="11.25" customHeight="1">
      <c r="A70" s="897"/>
      <c r="B70" s="1550"/>
      <c r="C70" s="1550"/>
      <c r="D70" s="275"/>
      <c r="K70" s="1062"/>
      <c r="L70" s="1550"/>
      <c r="M70" s="1550"/>
      <c r="N70" s="1062"/>
      <c r="O70" s="1062"/>
      <c r="P70" s="1062"/>
      <c r="Q70" s="1062"/>
      <c r="R70" s="1550"/>
      <c r="S70" s="1062"/>
      <c r="T70" s="1062"/>
      <c r="U70" s="468"/>
      <c r="V70" s="1062"/>
      <c r="W70" s="1062"/>
      <c r="X70" s="1062"/>
      <c r="Y70" s="1062"/>
      <c r="Z70" s="1062"/>
      <c r="AA70" s="1546"/>
      <c r="AB70" s="490"/>
      <c r="AC70" s="490"/>
      <c r="AD70" s="490"/>
      <c r="AE70" s="490"/>
    </row>
    <row r="71" spans="1:31" s="1907" customFormat="1" ht="11.25" customHeight="1">
      <c r="A71" s="897"/>
      <c r="B71" s="1550"/>
      <c r="C71" s="1550"/>
      <c r="D71" s="275"/>
      <c r="K71" s="1062"/>
      <c r="L71" s="1550"/>
      <c r="M71" s="1550"/>
      <c r="N71" s="1062"/>
      <c r="O71" s="1062"/>
      <c r="P71" s="1062"/>
      <c r="Q71" s="1062"/>
      <c r="R71" s="1550"/>
      <c r="S71" s="1062"/>
      <c r="T71" s="1062"/>
      <c r="U71" s="468"/>
      <c r="V71" s="1062"/>
      <c r="W71" s="1062"/>
      <c r="X71" s="1062"/>
      <c r="Y71" s="1062"/>
      <c r="Z71" s="1062"/>
      <c r="AA71" s="1546"/>
      <c r="AB71" s="490"/>
      <c r="AC71" s="490"/>
      <c r="AD71" s="490"/>
      <c r="AE71" s="490"/>
    </row>
    <row r="72" spans="1:31" s="1907" customFormat="1" ht="11.25" customHeight="1">
      <c r="A72" s="897"/>
      <c r="B72" s="1550"/>
      <c r="C72" s="1550"/>
      <c r="D72" s="275"/>
      <c r="K72" s="1062"/>
      <c r="L72" s="1550"/>
      <c r="M72" s="1550"/>
      <c r="N72" s="1062"/>
      <c r="O72" s="1062"/>
      <c r="P72" s="1062"/>
      <c r="Q72" s="1062"/>
      <c r="R72" s="1550"/>
      <c r="S72" s="1062"/>
      <c r="T72" s="1062"/>
      <c r="U72" s="468"/>
      <c r="V72" s="1062"/>
      <c r="W72" s="1062"/>
      <c r="X72" s="1062"/>
      <c r="Y72" s="1062"/>
      <c r="Z72" s="1062"/>
      <c r="AA72" s="1546"/>
      <c r="AB72" s="490"/>
      <c r="AC72" s="490"/>
      <c r="AD72" s="490"/>
      <c r="AE72" s="490"/>
    </row>
    <row r="73" spans="1:31" s="1907" customFormat="1" ht="11.25" customHeight="1">
      <c r="A73" s="897"/>
      <c r="B73" s="1550"/>
      <c r="C73" s="1550"/>
      <c r="D73" s="275"/>
      <c r="K73" s="1062"/>
      <c r="L73" s="1550"/>
      <c r="M73" s="1550"/>
      <c r="N73" s="1062"/>
      <c r="O73" s="1062"/>
      <c r="P73" s="1062"/>
      <c r="Q73" s="1062"/>
      <c r="R73" s="1550"/>
      <c r="S73" s="1062"/>
      <c r="T73" s="1062"/>
      <c r="U73" s="468"/>
      <c r="V73" s="1062"/>
      <c r="W73" s="1062"/>
      <c r="X73" s="1062"/>
      <c r="Y73" s="1062"/>
      <c r="Z73" s="1062"/>
      <c r="AA73" s="1546"/>
      <c r="AB73" s="490"/>
      <c r="AC73" s="490"/>
      <c r="AD73" s="490"/>
      <c r="AE73" s="490"/>
    </row>
    <row r="74" spans="1:31" s="1907" customFormat="1" ht="11.25" customHeight="1">
      <c r="A74" s="897"/>
      <c r="B74" s="1550"/>
      <c r="C74" s="1550"/>
      <c r="D74" s="275"/>
      <c r="K74" s="1062"/>
      <c r="L74" s="1550"/>
      <c r="M74" s="1550"/>
      <c r="N74" s="1062"/>
      <c r="O74" s="1062"/>
      <c r="P74" s="1062"/>
      <c r="Q74" s="1062"/>
      <c r="R74" s="1550"/>
      <c r="S74" s="1062"/>
      <c r="T74" s="1062"/>
      <c r="U74" s="468"/>
      <c r="V74" s="1062"/>
      <c r="W74" s="1062"/>
      <c r="X74" s="1062"/>
      <c r="Y74" s="1062"/>
      <c r="Z74" s="1062"/>
      <c r="AA74" s="1546"/>
      <c r="AB74" s="490"/>
      <c r="AC74" s="490"/>
      <c r="AD74" s="490"/>
      <c r="AE74" s="490"/>
    </row>
    <row r="75" spans="1:31" s="1907" customFormat="1" ht="11.25" customHeight="1">
      <c r="A75" s="897"/>
      <c r="B75" s="1550"/>
      <c r="C75" s="1550"/>
      <c r="D75" s="275"/>
      <c r="K75" s="1062"/>
      <c r="L75" s="1550"/>
      <c r="M75" s="1550"/>
      <c r="N75" s="1062"/>
      <c r="O75" s="1062"/>
      <c r="P75" s="1062"/>
      <c r="Q75" s="1062"/>
      <c r="R75" s="1550"/>
      <c r="S75" s="1062"/>
      <c r="T75" s="1062"/>
      <c r="U75" s="468"/>
      <c r="V75" s="1062"/>
      <c r="W75" s="1062"/>
      <c r="X75" s="1062"/>
      <c r="Y75" s="1062"/>
      <c r="Z75" s="1062"/>
      <c r="AA75" s="1546"/>
      <c r="AB75" s="490"/>
      <c r="AC75" s="490"/>
      <c r="AD75" s="490"/>
      <c r="AE75" s="490"/>
    </row>
    <row r="76" spans="1:31" s="1907" customFormat="1" ht="11.25" customHeight="1">
      <c r="A76" s="897"/>
      <c r="B76" s="1550"/>
      <c r="C76" s="1550"/>
      <c r="D76" s="275"/>
      <c r="K76" s="1062"/>
      <c r="L76" s="1550"/>
      <c r="M76" s="1550"/>
      <c r="N76" s="1062"/>
      <c r="O76" s="1062"/>
      <c r="P76" s="1062"/>
      <c r="Q76" s="1062"/>
      <c r="R76" s="1550"/>
      <c r="S76" s="1062"/>
      <c r="T76" s="1062"/>
      <c r="U76" s="468"/>
      <c r="V76" s="1062"/>
      <c r="W76" s="1062"/>
      <c r="X76" s="1062"/>
      <c r="Y76" s="1062"/>
      <c r="Z76" s="1062"/>
      <c r="AA76" s="1546"/>
      <c r="AB76" s="490"/>
      <c r="AC76" s="490"/>
      <c r="AD76" s="490"/>
      <c r="AE76" s="490"/>
    </row>
    <row r="77" spans="1:31" s="1907" customFormat="1" ht="11.25" customHeight="1">
      <c r="A77" s="897"/>
      <c r="B77" s="1550"/>
      <c r="C77" s="1550"/>
      <c r="D77" s="275"/>
      <c r="K77" s="1062"/>
      <c r="L77" s="1550"/>
      <c r="M77" s="1550"/>
      <c r="N77" s="1062"/>
      <c r="O77" s="1062"/>
      <c r="P77" s="1062"/>
      <c r="Q77" s="1062"/>
      <c r="R77" s="1550"/>
      <c r="S77" s="1062"/>
      <c r="T77" s="1062"/>
      <c r="U77" s="468"/>
      <c r="V77" s="1062"/>
      <c r="W77" s="1062"/>
      <c r="X77" s="1062"/>
      <c r="Y77" s="1062"/>
      <c r="Z77" s="1062"/>
      <c r="AA77" s="1546"/>
      <c r="AB77" s="490"/>
      <c r="AC77" s="490"/>
      <c r="AD77" s="490"/>
      <c r="AE77" s="490"/>
    </row>
    <row r="78" spans="1:31" s="1907" customFormat="1" ht="11.25" customHeight="1">
      <c r="A78" s="897"/>
      <c r="B78" s="1550"/>
      <c r="C78" s="1550"/>
      <c r="D78" s="275"/>
      <c r="K78" s="1062"/>
      <c r="L78" s="1550"/>
      <c r="M78" s="1550"/>
      <c r="N78" s="1062"/>
      <c r="O78" s="1062"/>
      <c r="P78" s="1062"/>
      <c r="Q78" s="1062"/>
      <c r="R78" s="1550"/>
      <c r="S78" s="1062"/>
      <c r="T78" s="1062"/>
      <c r="U78" s="468"/>
      <c r="V78" s="1062"/>
      <c r="W78" s="1062"/>
      <c r="X78" s="1062"/>
      <c r="Y78" s="1062"/>
      <c r="Z78" s="1062"/>
      <c r="AA78" s="1546"/>
      <c r="AB78" s="490"/>
      <c r="AC78" s="490"/>
      <c r="AD78" s="490"/>
      <c r="AE78" s="490"/>
    </row>
    <row r="79" spans="1:31" s="1907" customFormat="1" ht="11.25" customHeight="1">
      <c r="A79" s="897"/>
      <c r="B79" s="1550"/>
      <c r="C79" s="1550"/>
      <c r="D79" s="275"/>
      <c r="K79" s="1062"/>
      <c r="L79" s="1550"/>
      <c r="M79" s="1550"/>
      <c r="N79" s="1062"/>
      <c r="O79" s="1062"/>
      <c r="P79" s="1062"/>
      <c r="Q79" s="1062"/>
      <c r="R79" s="1550"/>
      <c r="S79" s="1062"/>
      <c r="T79" s="1062"/>
      <c r="U79" s="468"/>
      <c r="V79" s="1062"/>
      <c r="W79" s="1062"/>
      <c r="X79" s="1062"/>
      <c r="Y79" s="1062"/>
      <c r="Z79" s="1062"/>
      <c r="AA79" s="1546"/>
      <c r="AB79" s="490"/>
      <c r="AC79" s="490"/>
      <c r="AD79" s="490"/>
      <c r="AE79" s="490"/>
    </row>
    <row r="80" spans="1:31" s="1907" customFormat="1" ht="11.25" customHeight="1">
      <c r="A80" s="897"/>
      <c r="B80" s="1550"/>
      <c r="C80" s="1550"/>
      <c r="D80" s="275"/>
      <c r="K80" s="1062"/>
      <c r="L80" s="1550"/>
      <c r="M80" s="1550"/>
      <c r="N80" s="1062"/>
      <c r="O80" s="1062"/>
      <c r="P80" s="1062"/>
      <c r="Q80" s="1062"/>
      <c r="R80" s="1550"/>
      <c r="S80" s="1062"/>
      <c r="T80" s="1062"/>
      <c r="U80" s="468"/>
      <c r="V80" s="1062"/>
      <c r="W80" s="1062"/>
      <c r="X80" s="1062"/>
      <c r="Y80" s="1062"/>
      <c r="Z80" s="1062"/>
      <c r="AA80" s="1546"/>
      <c r="AB80" s="490"/>
      <c r="AC80" s="490"/>
      <c r="AD80" s="490"/>
      <c r="AE80" s="490"/>
    </row>
    <row r="81" spans="1:31" s="1907" customFormat="1" ht="11.25" customHeight="1">
      <c r="A81" s="897"/>
      <c r="B81" s="1550"/>
      <c r="C81" s="1550"/>
      <c r="D81" s="275"/>
      <c r="K81" s="1062"/>
      <c r="L81" s="1550"/>
      <c r="M81" s="1550"/>
      <c r="N81" s="1062"/>
      <c r="O81" s="1062"/>
      <c r="P81" s="1062"/>
      <c r="Q81" s="1062"/>
      <c r="R81" s="1550"/>
      <c r="S81" s="1062"/>
      <c r="T81" s="1062"/>
      <c r="U81" s="468"/>
      <c r="V81" s="1062"/>
      <c r="W81" s="1062"/>
      <c r="X81" s="1062"/>
      <c r="Y81" s="1062"/>
      <c r="Z81" s="1062"/>
      <c r="AA81" s="1546"/>
      <c r="AB81" s="490"/>
      <c r="AC81" s="490"/>
      <c r="AD81" s="490"/>
      <c r="AE81" s="490"/>
    </row>
    <row r="82" spans="1:31" s="1907" customFormat="1" ht="11.25" customHeight="1">
      <c r="A82" s="897"/>
      <c r="B82" s="1550"/>
      <c r="C82" s="1550"/>
      <c r="D82" s="275"/>
      <c r="K82" s="1062"/>
      <c r="L82" s="1550"/>
      <c r="M82" s="1550"/>
      <c r="N82" s="1062"/>
      <c r="O82" s="1062"/>
      <c r="P82" s="1062"/>
      <c r="Q82" s="1062"/>
      <c r="R82" s="1550"/>
      <c r="S82" s="1062"/>
      <c r="T82" s="1062"/>
      <c r="U82" s="468"/>
      <c r="V82" s="1062"/>
      <c r="W82" s="1062"/>
      <c r="X82" s="1062"/>
      <c r="Y82" s="1062"/>
      <c r="Z82" s="1062"/>
      <c r="AA82" s="1546"/>
      <c r="AB82" s="490"/>
      <c r="AC82" s="490"/>
      <c r="AD82" s="490"/>
      <c r="AE82" s="490"/>
    </row>
    <row r="83" spans="1:31" s="1907" customFormat="1" ht="11.25" customHeight="1">
      <c r="A83" s="897"/>
      <c r="B83" s="1550"/>
      <c r="C83" s="1550"/>
      <c r="D83" s="275"/>
      <c r="K83" s="1062"/>
      <c r="L83" s="1550"/>
      <c r="M83" s="1550"/>
      <c r="N83" s="1062"/>
      <c r="O83" s="1062"/>
      <c r="P83" s="1062"/>
      <c r="Q83" s="1062"/>
      <c r="R83" s="1550"/>
      <c r="S83" s="1062"/>
      <c r="T83" s="1062"/>
      <c r="U83" s="468"/>
      <c r="V83" s="1062"/>
      <c r="W83" s="1062"/>
      <c r="X83" s="1062"/>
      <c r="Y83" s="1062"/>
      <c r="Z83" s="1062"/>
      <c r="AA83" s="1546"/>
      <c r="AB83" s="490"/>
      <c r="AC83" s="490"/>
      <c r="AD83" s="490"/>
      <c r="AE83" s="490"/>
    </row>
    <row r="84" spans="1:31" s="1907" customFormat="1" ht="11.25" customHeight="1">
      <c r="A84" s="897"/>
      <c r="B84" s="1550"/>
      <c r="C84" s="1550"/>
      <c r="D84" s="275"/>
      <c r="K84" s="1062"/>
      <c r="L84" s="1550"/>
      <c r="M84" s="1550"/>
      <c r="N84" s="1062"/>
      <c r="O84" s="1062"/>
      <c r="P84" s="1062"/>
      <c r="Q84" s="1062"/>
      <c r="R84" s="1550"/>
      <c r="S84" s="1062"/>
      <c r="T84" s="1062"/>
      <c r="U84" s="468"/>
      <c r="V84" s="1062"/>
      <c r="W84" s="1062"/>
      <c r="X84" s="1062"/>
      <c r="Y84" s="1062"/>
      <c r="Z84" s="1062"/>
      <c r="AA84" s="1546"/>
      <c r="AB84" s="490"/>
      <c r="AC84" s="490"/>
      <c r="AD84" s="490"/>
      <c r="AE84" s="490"/>
    </row>
    <row r="85" spans="1:31" s="1907" customFormat="1" ht="11.25" customHeight="1">
      <c r="A85" s="897"/>
      <c r="B85" s="1550"/>
      <c r="C85" s="1550"/>
      <c r="D85" s="275"/>
      <c r="K85" s="1062"/>
      <c r="L85" s="1550"/>
      <c r="M85" s="1550"/>
      <c r="N85" s="1062"/>
      <c r="O85" s="1062"/>
      <c r="P85" s="1062"/>
      <c r="Q85" s="1062"/>
      <c r="R85" s="1550"/>
      <c r="S85" s="1062"/>
      <c r="T85" s="1062"/>
      <c r="U85" s="468"/>
      <c r="V85" s="1062"/>
      <c r="W85" s="1062"/>
      <c r="X85" s="1062"/>
      <c r="Y85" s="1062"/>
      <c r="Z85" s="1062"/>
      <c r="AA85" s="1546"/>
      <c r="AB85" s="490"/>
      <c r="AC85" s="490"/>
      <c r="AD85" s="490"/>
      <c r="AE85" s="490"/>
    </row>
    <row r="86" spans="1:31" s="1907" customFormat="1" ht="11.25" customHeight="1">
      <c r="A86" s="897"/>
      <c r="B86" s="1550"/>
      <c r="C86" s="1550"/>
      <c r="D86" s="275"/>
      <c r="K86" s="1062"/>
      <c r="L86" s="1550"/>
      <c r="M86" s="1550"/>
      <c r="N86" s="1062"/>
      <c r="O86" s="1062"/>
      <c r="P86" s="1062"/>
      <c r="Q86" s="1062"/>
      <c r="R86" s="1550"/>
      <c r="S86" s="1062"/>
      <c r="T86" s="1062"/>
      <c r="U86" s="468"/>
      <c r="V86" s="1062"/>
      <c r="W86" s="1062"/>
      <c r="X86" s="1062"/>
      <c r="Y86" s="1062"/>
      <c r="Z86" s="1062"/>
      <c r="AA86" s="1546"/>
      <c r="AB86" s="490"/>
      <c r="AC86" s="490"/>
      <c r="AD86" s="490"/>
      <c r="AE86" s="490"/>
    </row>
    <row r="87" spans="1:31" s="1907" customFormat="1" ht="11.25" customHeight="1">
      <c r="A87" s="897"/>
      <c r="B87" s="1550"/>
      <c r="C87" s="1550"/>
      <c r="D87" s="275"/>
      <c r="K87" s="1062"/>
      <c r="L87" s="1550"/>
      <c r="M87" s="1550"/>
      <c r="N87" s="1062"/>
      <c r="O87" s="1062"/>
      <c r="P87" s="1062"/>
      <c r="Q87" s="1062"/>
      <c r="R87" s="1550"/>
      <c r="S87" s="1062"/>
      <c r="T87" s="1062"/>
      <c r="U87" s="468"/>
      <c r="V87" s="1062"/>
      <c r="W87" s="1062"/>
      <c r="X87" s="1062"/>
      <c r="Y87" s="1062"/>
      <c r="Z87" s="1062"/>
      <c r="AA87" s="1546"/>
      <c r="AB87" s="490"/>
      <c r="AC87" s="490"/>
      <c r="AD87" s="490"/>
      <c r="AE87" s="490"/>
    </row>
    <row r="88" spans="1:31" s="1907" customFormat="1" ht="11.25" customHeight="1">
      <c r="A88" s="897"/>
      <c r="B88" s="1550"/>
      <c r="C88" s="1550"/>
      <c r="D88" s="275"/>
      <c r="K88" s="1062"/>
      <c r="L88" s="1550"/>
      <c r="M88" s="1550"/>
      <c r="N88" s="1062"/>
      <c r="O88" s="1062"/>
      <c r="P88" s="1062"/>
      <c r="Q88" s="1062"/>
      <c r="R88" s="1550"/>
      <c r="S88" s="1062"/>
      <c r="T88" s="1062"/>
      <c r="U88" s="468"/>
      <c r="V88" s="1062"/>
      <c r="W88" s="1062"/>
      <c r="X88" s="1062"/>
      <c r="Y88" s="1062"/>
      <c r="Z88" s="1062"/>
      <c r="AA88" s="1546"/>
      <c r="AB88" s="490"/>
      <c r="AC88" s="490"/>
      <c r="AD88" s="490"/>
      <c r="AE88" s="490"/>
    </row>
    <row r="89" spans="1:31" s="1907" customFormat="1" ht="11.25" customHeight="1">
      <c r="A89" s="897"/>
      <c r="B89" s="1550"/>
      <c r="C89" s="1550"/>
      <c r="D89" s="275"/>
      <c r="K89" s="1062"/>
      <c r="L89" s="1550"/>
      <c r="M89" s="1550"/>
      <c r="N89" s="1062"/>
      <c r="O89" s="1062"/>
      <c r="P89" s="1062"/>
      <c r="Q89" s="1062"/>
      <c r="R89" s="1550"/>
      <c r="S89" s="1062"/>
      <c r="T89" s="1062"/>
      <c r="U89" s="468"/>
      <c r="V89" s="1062"/>
      <c r="W89" s="1062"/>
      <c r="X89" s="1062"/>
      <c r="Y89" s="1062"/>
      <c r="Z89" s="1062"/>
      <c r="AA89" s="1546"/>
      <c r="AB89" s="490"/>
      <c r="AC89" s="490"/>
      <c r="AD89" s="490"/>
      <c r="AE89" s="490"/>
    </row>
    <row r="90" spans="1:31" s="1907" customFormat="1" ht="11.25" customHeight="1">
      <c r="A90" s="897"/>
      <c r="B90" s="1550"/>
      <c r="C90" s="1550"/>
      <c r="D90" s="275"/>
      <c r="K90" s="1062"/>
      <c r="L90" s="1550"/>
      <c r="M90" s="1550"/>
      <c r="N90" s="1062"/>
      <c r="O90" s="1062"/>
      <c r="P90" s="1062"/>
      <c r="Q90" s="1062"/>
      <c r="R90" s="1550"/>
      <c r="S90" s="1062"/>
      <c r="T90" s="1062"/>
      <c r="U90" s="468"/>
      <c r="V90" s="1062"/>
      <c r="W90" s="1062"/>
      <c r="X90" s="1062"/>
      <c r="Y90" s="1062"/>
      <c r="Z90" s="1062"/>
      <c r="AA90" s="1546"/>
      <c r="AB90" s="490"/>
      <c r="AC90" s="490"/>
      <c r="AD90" s="490"/>
      <c r="AE90" s="490"/>
    </row>
    <row r="91" spans="1:31" s="1907" customFormat="1" ht="11.25" customHeight="1">
      <c r="A91" s="897"/>
      <c r="B91" s="1550"/>
      <c r="C91" s="1550"/>
      <c r="D91" s="275"/>
      <c r="K91" s="1062"/>
      <c r="L91" s="1550"/>
      <c r="M91" s="1550"/>
      <c r="N91" s="1062"/>
      <c r="O91" s="1062"/>
      <c r="P91" s="1062"/>
      <c r="Q91" s="1062"/>
      <c r="R91" s="1550"/>
      <c r="S91" s="1062"/>
      <c r="T91" s="1062"/>
      <c r="U91" s="468"/>
      <c r="V91" s="1062"/>
      <c r="W91" s="1062"/>
      <c r="X91" s="1062"/>
      <c r="Y91" s="1062"/>
      <c r="Z91" s="1062"/>
      <c r="AA91" s="1546"/>
      <c r="AB91" s="490"/>
      <c r="AC91" s="490"/>
      <c r="AD91" s="490"/>
      <c r="AE91" s="490"/>
    </row>
    <row r="92" spans="1:31" s="1907" customFormat="1" ht="11.25" customHeight="1">
      <c r="A92" s="897"/>
      <c r="B92" s="1550"/>
      <c r="C92" s="1550"/>
      <c r="D92" s="275"/>
      <c r="K92" s="1062"/>
      <c r="L92" s="1550"/>
      <c r="M92" s="1550"/>
      <c r="N92" s="1062"/>
      <c r="O92" s="1062"/>
      <c r="P92" s="1062"/>
      <c r="Q92" s="1062"/>
      <c r="R92" s="1550"/>
      <c r="S92" s="1062"/>
      <c r="T92" s="1062"/>
      <c r="U92" s="468"/>
      <c r="V92" s="1062"/>
      <c r="W92" s="1062"/>
      <c r="X92" s="1062"/>
      <c r="Y92" s="1062"/>
      <c r="Z92" s="1062"/>
      <c r="AA92" s="1546"/>
      <c r="AB92" s="490"/>
      <c r="AC92" s="490"/>
      <c r="AD92" s="490"/>
      <c r="AE92" s="490"/>
    </row>
    <row r="93" spans="1:31" s="1907" customFormat="1" ht="11.25" customHeight="1">
      <c r="A93" s="897"/>
      <c r="B93" s="1550"/>
      <c r="C93" s="1550"/>
      <c r="D93" s="275"/>
      <c r="K93" s="1062"/>
      <c r="L93" s="1550"/>
      <c r="M93" s="1550"/>
      <c r="N93" s="1062"/>
      <c r="O93" s="1062"/>
      <c r="P93" s="1062"/>
      <c r="Q93" s="1062"/>
      <c r="R93" s="1550"/>
      <c r="S93" s="1062"/>
      <c r="T93" s="1062"/>
      <c r="U93" s="468"/>
      <c r="V93" s="1062"/>
      <c r="W93" s="1062"/>
      <c r="X93" s="1062"/>
      <c r="Y93" s="1062"/>
      <c r="Z93" s="1062"/>
      <c r="AA93" s="1546"/>
      <c r="AB93" s="490"/>
      <c r="AC93" s="490"/>
      <c r="AD93" s="490"/>
      <c r="AE93" s="490"/>
    </row>
    <row r="94" spans="1:31" s="1907" customFormat="1" ht="11.25" customHeight="1">
      <c r="A94" s="897"/>
      <c r="B94" s="1550"/>
      <c r="C94" s="1550"/>
      <c r="D94" s="275"/>
      <c r="K94" s="1062"/>
      <c r="L94" s="1550"/>
      <c r="M94" s="1550"/>
      <c r="N94" s="1062"/>
      <c r="O94" s="1062"/>
      <c r="P94" s="1062"/>
      <c r="Q94" s="1062"/>
      <c r="R94" s="1550"/>
      <c r="S94" s="1062"/>
      <c r="T94" s="1062"/>
      <c r="U94" s="468"/>
      <c r="V94" s="1062"/>
      <c r="W94" s="1062"/>
      <c r="X94" s="1062"/>
      <c r="Y94" s="1062"/>
      <c r="Z94" s="1062"/>
      <c r="AA94" s="1546"/>
      <c r="AB94" s="490"/>
      <c r="AC94" s="490"/>
      <c r="AD94" s="490"/>
      <c r="AE94" s="490"/>
    </row>
    <row r="95" spans="1:31" s="1907" customFormat="1" ht="11.25" customHeight="1">
      <c r="A95" s="897"/>
      <c r="B95" s="1550"/>
      <c r="C95" s="1550"/>
      <c r="D95" s="275"/>
      <c r="K95" s="1062"/>
      <c r="L95" s="1550"/>
      <c r="M95" s="1550"/>
      <c r="N95" s="1062"/>
      <c r="O95" s="1062"/>
      <c r="P95" s="1062"/>
      <c r="Q95" s="1062"/>
      <c r="R95" s="1550"/>
      <c r="S95" s="1062"/>
      <c r="T95" s="1062"/>
      <c r="U95" s="468"/>
      <c r="V95" s="1062"/>
      <c r="W95" s="1062"/>
      <c r="X95" s="1062"/>
      <c r="Y95" s="1062"/>
      <c r="Z95" s="1062"/>
      <c r="AA95" s="1546"/>
      <c r="AB95" s="490"/>
      <c r="AC95" s="490"/>
      <c r="AD95" s="490"/>
      <c r="AE95" s="490"/>
    </row>
    <row r="96" spans="1:31" s="1907" customFormat="1" ht="11.25" customHeight="1">
      <c r="A96" s="897"/>
      <c r="B96" s="1550"/>
      <c r="C96" s="1550"/>
      <c r="D96" s="275"/>
      <c r="K96" s="1062"/>
      <c r="L96" s="1550"/>
      <c r="M96" s="1550"/>
      <c r="N96" s="1062"/>
      <c r="O96" s="1062"/>
      <c r="P96" s="1062"/>
      <c r="Q96" s="1062"/>
      <c r="R96" s="1550"/>
      <c r="S96" s="1062"/>
      <c r="T96" s="1062"/>
      <c r="U96" s="468"/>
      <c r="V96" s="1062"/>
      <c r="W96" s="1062"/>
      <c r="X96" s="1062"/>
      <c r="Y96" s="1062"/>
      <c r="Z96" s="1062"/>
      <c r="AA96" s="1546"/>
      <c r="AB96" s="490"/>
      <c r="AC96" s="490"/>
      <c r="AD96" s="490"/>
      <c r="AE96" s="490"/>
    </row>
    <row r="97" spans="1:31" s="1907" customFormat="1" ht="11.25" customHeight="1">
      <c r="A97" s="897"/>
      <c r="B97" s="1550"/>
      <c r="C97" s="1550"/>
      <c r="D97" s="275"/>
      <c r="K97" s="1062"/>
      <c r="L97" s="1550"/>
      <c r="M97" s="1550"/>
      <c r="N97" s="1062"/>
      <c r="O97" s="1062"/>
      <c r="P97" s="1062"/>
      <c r="Q97" s="1062"/>
      <c r="R97" s="1550"/>
      <c r="S97" s="1062"/>
      <c r="T97" s="1062"/>
      <c r="U97" s="468"/>
      <c r="V97" s="1062"/>
      <c r="W97" s="1062"/>
      <c r="X97" s="1062"/>
      <c r="Y97" s="1062"/>
      <c r="Z97" s="1062"/>
      <c r="AA97" s="1546"/>
      <c r="AB97" s="490"/>
      <c r="AC97" s="490"/>
      <c r="AD97" s="490"/>
      <c r="AE97" s="490"/>
    </row>
    <row r="98" spans="1:31" s="1907" customFormat="1" ht="11.25" customHeight="1">
      <c r="A98" s="897"/>
      <c r="B98" s="1550"/>
      <c r="C98" s="1550"/>
      <c r="D98" s="275"/>
      <c r="K98" s="1062"/>
      <c r="L98" s="1550"/>
      <c r="M98" s="1550"/>
      <c r="N98" s="1062"/>
      <c r="O98" s="1062"/>
      <c r="P98" s="1062"/>
      <c r="Q98" s="1062"/>
      <c r="R98" s="1550"/>
      <c r="S98" s="1062"/>
      <c r="T98" s="1062"/>
      <c r="U98" s="468"/>
      <c r="V98" s="1062"/>
      <c r="W98" s="1062"/>
      <c r="X98" s="1062"/>
      <c r="Y98" s="1062"/>
      <c r="Z98" s="1062"/>
      <c r="AA98" s="1546"/>
      <c r="AB98" s="490"/>
      <c r="AC98" s="490"/>
      <c r="AD98" s="490"/>
      <c r="AE98" s="490"/>
    </row>
    <row r="99" spans="1:31" s="1907" customFormat="1" ht="11.25" customHeight="1">
      <c r="A99" s="897"/>
      <c r="B99" s="1550"/>
      <c r="C99" s="1550"/>
      <c r="D99" s="275"/>
      <c r="K99" s="1062"/>
      <c r="L99" s="1550"/>
      <c r="M99" s="1550"/>
      <c r="N99" s="1062"/>
      <c r="O99" s="1062"/>
      <c r="P99" s="1062"/>
      <c r="Q99" s="1062"/>
      <c r="R99" s="1550"/>
      <c r="S99" s="1062"/>
      <c r="T99" s="1062"/>
      <c r="U99" s="468"/>
      <c r="V99" s="1062"/>
      <c r="W99" s="1062"/>
      <c r="X99" s="1062"/>
      <c r="Y99" s="1062"/>
      <c r="Z99" s="1062"/>
      <c r="AA99" s="1546"/>
      <c r="AB99" s="490"/>
      <c r="AC99" s="490"/>
      <c r="AD99" s="490"/>
      <c r="AE99" s="490"/>
    </row>
    <row r="100" spans="1:31" s="1907" customFormat="1" ht="11.25" customHeight="1">
      <c r="A100" s="897"/>
      <c r="B100" s="1550"/>
      <c r="C100" s="1550"/>
      <c r="D100" s="275"/>
      <c r="K100" s="1062"/>
      <c r="L100" s="1550"/>
      <c r="M100" s="1550"/>
      <c r="N100" s="1062"/>
      <c r="O100" s="1062"/>
      <c r="P100" s="1062"/>
      <c r="Q100" s="1062"/>
      <c r="R100" s="1550"/>
      <c r="S100" s="1062"/>
      <c r="T100" s="1062"/>
      <c r="U100" s="468"/>
      <c r="V100" s="1062"/>
      <c r="W100" s="1062"/>
      <c r="X100" s="1062"/>
      <c r="Y100" s="1062"/>
      <c r="Z100" s="1062"/>
      <c r="AA100" s="1546"/>
      <c r="AB100" s="490"/>
      <c r="AC100" s="490"/>
      <c r="AD100" s="490"/>
      <c r="AE100" s="490"/>
    </row>
    <row r="101" spans="1:31" s="1907" customFormat="1" ht="11.25" customHeight="1">
      <c r="A101" s="897"/>
      <c r="B101" s="1550"/>
      <c r="C101" s="1550"/>
      <c r="D101" s="275"/>
      <c r="K101" s="1062"/>
      <c r="L101" s="1550"/>
      <c r="M101" s="1550"/>
      <c r="N101" s="1062"/>
      <c r="O101" s="1062"/>
      <c r="P101" s="1062"/>
      <c r="Q101" s="1062"/>
      <c r="R101" s="1550"/>
      <c r="S101" s="1062"/>
      <c r="T101" s="1062"/>
      <c r="U101" s="468"/>
      <c r="V101" s="1062"/>
      <c r="W101" s="1062"/>
      <c r="X101" s="1062"/>
      <c r="Y101" s="1062"/>
      <c r="Z101" s="1062"/>
      <c r="AA101" s="1546"/>
      <c r="AB101" s="490"/>
      <c r="AC101" s="490"/>
      <c r="AD101" s="490"/>
      <c r="AE101" s="490"/>
    </row>
    <row r="102" spans="1:31" s="1907" customFormat="1" ht="11.25" customHeight="1">
      <c r="A102" s="897"/>
      <c r="B102" s="1550"/>
      <c r="C102" s="1550"/>
      <c r="D102" s="275"/>
      <c r="K102" s="1062"/>
      <c r="L102" s="1550"/>
      <c r="M102" s="1550"/>
      <c r="N102" s="1062"/>
      <c r="O102" s="1062"/>
      <c r="P102" s="1062"/>
      <c r="Q102" s="1062"/>
      <c r="R102" s="1550"/>
      <c r="S102" s="1062"/>
      <c r="T102" s="1062"/>
      <c r="U102" s="468"/>
      <c r="V102" s="1062"/>
      <c r="W102" s="1062"/>
      <c r="X102" s="1062"/>
      <c r="Y102" s="1062"/>
      <c r="Z102" s="1062"/>
      <c r="AA102" s="1546"/>
      <c r="AB102" s="490"/>
      <c r="AC102" s="490"/>
      <c r="AD102" s="490"/>
      <c r="AE102" s="490"/>
    </row>
    <row r="103" spans="1:31" s="1907" customFormat="1" ht="11.25" customHeight="1">
      <c r="A103" s="897"/>
      <c r="B103" s="1550"/>
      <c r="C103" s="1550"/>
      <c r="D103" s="275"/>
      <c r="K103" s="1062"/>
      <c r="L103" s="1550"/>
      <c r="M103" s="1550"/>
      <c r="N103" s="1062"/>
      <c r="O103" s="1062"/>
      <c r="P103" s="1062"/>
      <c r="Q103" s="1062"/>
      <c r="R103" s="1550"/>
      <c r="S103" s="1062"/>
      <c r="T103" s="1062"/>
      <c r="U103" s="468"/>
      <c r="V103" s="1062"/>
      <c r="W103" s="1062"/>
      <c r="X103" s="1062"/>
      <c r="Y103" s="1062"/>
      <c r="Z103" s="1062"/>
      <c r="AA103" s="1546"/>
      <c r="AB103" s="490"/>
      <c r="AC103" s="490"/>
      <c r="AD103" s="490"/>
      <c r="AE103" s="490"/>
    </row>
    <row r="104" spans="1:31" s="1907" customFormat="1" ht="11.25" customHeight="1">
      <c r="A104" s="897"/>
      <c r="B104" s="1550"/>
      <c r="C104" s="1550"/>
      <c r="D104" s="275"/>
      <c r="K104" s="1062"/>
      <c r="L104" s="1550"/>
      <c r="M104" s="1550"/>
      <c r="N104" s="1062"/>
      <c r="O104" s="1062"/>
      <c r="P104" s="1062"/>
      <c r="Q104" s="1062"/>
      <c r="R104" s="1550"/>
      <c r="S104" s="1062"/>
      <c r="T104" s="1062"/>
      <c r="U104" s="468"/>
      <c r="V104" s="1062"/>
      <c r="W104" s="1062"/>
      <c r="X104" s="1062"/>
      <c r="Y104" s="1062"/>
      <c r="Z104" s="1062"/>
      <c r="AA104" s="1546"/>
      <c r="AB104" s="490"/>
      <c r="AC104" s="490"/>
      <c r="AD104" s="490"/>
      <c r="AE104" s="490"/>
    </row>
    <row r="105" spans="1:31" s="1907" customFormat="1" ht="11.25" customHeight="1">
      <c r="A105" s="897"/>
      <c r="B105" s="1550"/>
      <c r="C105" s="1550"/>
      <c r="D105" s="275"/>
      <c r="K105" s="1062"/>
      <c r="L105" s="1550"/>
      <c r="M105" s="1550"/>
      <c r="N105" s="1062"/>
      <c r="O105" s="1062"/>
      <c r="P105" s="1062"/>
      <c r="Q105" s="1062"/>
      <c r="R105" s="1550"/>
      <c r="S105" s="1062"/>
      <c r="T105" s="1062"/>
      <c r="U105" s="468"/>
      <c r="V105" s="1062"/>
      <c r="W105" s="1062"/>
      <c r="X105" s="1062"/>
      <c r="Y105" s="1062"/>
      <c r="Z105" s="1062"/>
      <c r="AA105" s="1546"/>
      <c r="AB105" s="490"/>
      <c r="AC105" s="490"/>
      <c r="AD105" s="490"/>
      <c r="AE105" s="490"/>
    </row>
    <row r="106" spans="1:31" s="1907" customFormat="1" ht="11.25" customHeight="1">
      <c r="A106" s="897"/>
      <c r="B106" s="1550"/>
      <c r="C106" s="1550"/>
      <c r="D106" s="275"/>
      <c r="K106" s="1062"/>
      <c r="L106" s="1550"/>
      <c r="M106" s="1550"/>
      <c r="N106" s="1062"/>
      <c r="O106" s="1062"/>
      <c r="P106" s="1062"/>
      <c r="Q106" s="1062"/>
      <c r="R106" s="1550"/>
      <c r="S106" s="1062"/>
      <c r="T106" s="1062"/>
      <c r="U106" s="468"/>
      <c r="V106" s="1062"/>
      <c r="W106" s="1062"/>
      <c r="X106" s="1062"/>
      <c r="Y106" s="1062"/>
      <c r="Z106" s="1062"/>
      <c r="AA106" s="1546"/>
      <c r="AB106" s="490"/>
      <c r="AC106" s="490"/>
      <c r="AD106" s="490"/>
      <c r="AE106" s="490"/>
    </row>
    <row r="107" spans="1:31" s="1907" customFormat="1" ht="11.25" customHeight="1">
      <c r="A107" s="897"/>
      <c r="B107" s="1550"/>
      <c r="C107" s="1550"/>
      <c r="D107" s="275"/>
      <c r="K107" s="1062"/>
      <c r="L107" s="1550"/>
      <c r="M107" s="1550"/>
      <c r="N107" s="1062"/>
      <c r="O107" s="1062"/>
      <c r="P107" s="1062"/>
      <c r="Q107" s="1062"/>
      <c r="R107" s="1550"/>
      <c r="S107" s="1062"/>
      <c r="T107" s="1062"/>
      <c r="U107" s="468"/>
      <c r="V107" s="1062"/>
      <c r="W107" s="1062"/>
      <c r="X107" s="1062"/>
      <c r="Y107" s="1062"/>
      <c r="Z107" s="1062"/>
      <c r="AA107" s="1546"/>
      <c r="AB107" s="490"/>
      <c r="AC107" s="490"/>
      <c r="AD107" s="490"/>
      <c r="AE107" s="490"/>
    </row>
    <row r="108" spans="1:31" s="1907" customFormat="1" ht="11.25" customHeight="1">
      <c r="A108" s="897"/>
      <c r="B108" s="1550"/>
      <c r="C108" s="1550"/>
      <c r="D108" s="275"/>
      <c r="K108" s="1062"/>
      <c r="L108" s="1550"/>
      <c r="M108" s="1550"/>
      <c r="N108" s="1062"/>
      <c r="O108" s="1062"/>
      <c r="P108" s="1062"/>
      <c r="Q108" s="1062"/>
      <c r="R108" s="1550"/>
      <c r="S108" s="1062"/>
      <c r="T108" s="1062"/>
      <c r="U108" s="468"/>
      <c r="V108" s="1062"/>
      <c r="W108" s="1062"/>
      <c r="X108" s="1062"/>
      <c r="Y108" s="1062"/>
      <c r="Z108" s="1062"/>
      <c r="AA108" s="1546"/>
      <c r="AB108" s="490"/>
      <c r="AC108" s="490"/>
      <c r="AD108" s="490"/>
      <c r="AE108" s="490"/>
    </row>
    <row r="109" spans="1:31" s="1907" customFormat="1" ht="11.25" customHeight="1">
      <c r="A109" s="897"/>
      <c r="B109" s="1550"/>
      <c r="C109" s="1550"/>
      <c r="D109" s="275"/>
      <c r="K109" s="1062"/>
      <c r="L109" s="1550"/>
      <c r="M109" s="1550"/>
      <c r="N109" s="1062"/>
      <c r="O109" s="1062"/>
      <c r="P109" s="1062"/>
      <c r="Q109" s="1062"/>
      <c r="R109" s="1550"/>
      <c r="S109" s="1062"/>
      <c r="T109" s="1062"/>
      <c r="U109" s="468"/>
      <c r="V109" s="1062"/>
      <c r="W109" s="1062"/>
      <c r="X109" s="1062"/>
      <c r="Y109" s="1062"/>
      <c r="Z109" s="1062"/>
      <c r="AA109" s="1546"/>
      <c r="AB109" s="490"/>
      <c r="AC109" s="490"/>
      <c r="AD109" s="490"/>
      <c r="AE109" s="490"/>
    </row>
    <row r="110" spans="1:31" s="1907" customFormat="1" ht="11.25" customHeight="1">
      <c r="A110" s="897"/>
      <c r="B110" s="1550"/>
      <c r="C110" s="1550"/>
      <c r="D110" s="275"/>
      <c r="K110" s="1062"/>
      <c r="L110" s="1550"/>
      <c r="M110" s="1550"/>
      <c r="N110" s="1062"/>
      <c r="O110" s="1062"/>
      <c r="P110" s="1062"/>
      <c r="Q110" s="1062"/>
      <c r="R110" s="1550"/>
      <c r="S110" s="1062"/>
      <c r="T110" s="1062"/>
      <c r="U110" s="468"/>
      <c r="V110" s="1062"/>
      <c r="W110" s="1062"/>
      <c r="X110" s="1062"/>
      <c r="Y110" s="1062"/>
      <c r="Z110" s="1062"/>
      <c r="AA110" s="1546"/>
      <c r="AB110" s="490"/>
      <c r="AC110" s="490"/>
      <c r="AD110" s="490"/>
      <c r="AE110" s="490"/>
    </row>
    <row r="111" spans="1:31" s="1907" customFormat="1" ht="11.25" customHeight="1">
      <c r="A111" s="897"/>
      <c r="B111" s="1550"/>
      <c r="C111" s="1550"/>
      <c r="D111" s="275"/>
      <c r="K111" s="1062"/>
      <c r="L111" s="1550"/>
      <c r="M111" s="1550"/>
      <c r="N111" s="1062"/>
      <c r="O111" s="1062"/>
      <c r="P111" s="1062"/>
      <c r="Q111" s="1062"/>
      <c r="R111" s="1550"/>
      <c r="S111" s="1062"/>
      <c r="T111" s="1062"/>
      <c r="U111" s="468"/>
      <c r="V111" s="1062"/>
      <c r="W111" s="1062"/>
      <c r="X111" s="1062"/>
      <c r="Y111" s="1062"/>
      <c r="Z111" s="1062"/>
      <c r="AA111" s="1546"/>
      <c r="AB111" s="490"/>
      <c r="AC111" s="490"/>
      <c r="AD111" s="490"/>
      <c r="AE111" s="490"/>
    </row>
    <row r="112" spans="1:31" s="1907" customFormat="1" ht="11.25" customHeight="1">
      <c r="A112" s="897"/>
      <c r="B112" s="1550"/>
      <c r="C112" s="1550"/>
      <c r="D112" s="275"/>
      <c r="K112" s="1062"/>
      <c r="L112" s="1550"/>
      <c r="M112" s="1550"/>
      <c r="N112" s="1062"/>
      <c r="O112" s="1062"/>
      <c r="P112" s="1062"/>
      <c r="Q112" s="1062"/>
      <c r="R112" s="1550"/>
      <c r="S112" s="1062"/>
      <c r="T112" s="1062"/>
      <c r="U112" s="468"/>
      <c r="V112" s="1062"/>
      <c r="W112" s="1062"/>
      <c r="X112" s="1062"/>
      <c r="Y112" s="1062"/>
      <c r="Z112" s="1062"/>
      <c r="AA112" s="1546"/>
      <c r="AB112" s="490"/>
      <c r="AC112" s="490"/>
      <c r="AD112" s="490"/>
      <c r="AE112" s="490"/>
    </row>
    <row r="113" spans="1:31" s="1907" customFormat="1" ht="11.25" customHeight="1">
      <c r="A113" s="897"/>
      <c r="B113" s="1550"/>
      <c r="C113" s="1550"/>
      <c r="D113" s="275"/>
      <c r="K113" s="1062"/>
      <c r="L113" s="1550"/>
      <c r="M113" s="1550"/>
      <c r="N113" s="1062"/>
      <c r="O113" s="1062"/>
      <c r="P113" s="1062"/>
      <c r="Q113" s="1062"/>
      <c r="R113" s="1550"/>
      <c r="S113" s="1062"/>
      <c r="T113" s="1062"/>
      <c r="U113" s="468"/>
      <c r="V113" s="1062"/>
      <c r="W113" s="1062"/>
      <c r="X113" s="1062"/>
      <c r="Y113" s="1062"/>
      <c r="Z113" s="1062"/>
      <c r="AA113" s="1546"/>
      <c r="AB113" s="490"/>
      <c r="AC113" s="490"/>
      <c r="AD113" s="490"/>
      <c r="AE113" s="490"/>
    </row>
    <row r="114" spans="1:31" s="1907" customFormat="1" ht="11.25" customHeight="1">
      <c r="A114" s="897"/>
      <c r="B114" s="1550"/>
      <c r="C114" s="1550"/>
      <c r="D114" s="275"/>
      <c r="K114" s="1062"/>
      <c r="L114" s="1550"/>
      <c r="M114" s="1550"/>
      <c r="N114" s="1062"/>
      <c r="O114" s="1062"/>
      <c r="P114" s="1062"/>
      <c r="Q114" s="1062"/>
      <c r="R114" s="1550"/>
      <c r="S114" s="1062"/>
      <c r="T114" s="1062"/>
      <c r="U114" s="468"/>
      <c r="V114" s="1062"/>
      <c r="W114" s="1062"/>
      <c r="X114" s="1062"/>
      <c r="Y114" s="1062"/>
      <c r="Z114" s="1062"/>
      <c r="AA114" s="1546"/>
      <c r="AB114" s="490"/>
      <c r="AC114" s="490"/>
      <c r="AD114" s="490"/>
      <c r="AE114" s="490"/>
    </row>
    <row r="115" spans="1:31" s="1907" customFormat="1" ht="11.25" customHeight="1">
      <c r="A115" s="897"/>
      <c r="B115" s="1550"/>
      <c r="C115" s="1550"/>
      <c r="D115" s="275"/>
      <c r="K115" s="1062"/>
      <c r="L115" s="1550"/>
      <c r="M115" s="1550"/>
      <c r="N115" s="1062"/>
      <c r="O115" s="1062"/>
      <c r="P115" s="1062"/>
      <c r="Q115" s="1062"/>
      <c r="R115" s="1550"/>
      <c r="S115" s="1062"/>
      <c r="T115" s="1062"/>
      <c r="U115" s="468"/>
      <c r="V115" s="1062"/>
      <c r="W115" s="1062"/>
      <c r="X115" s="1062"/>
      <c r="Y115" s="1062"/>
      <c r="Z115" s="1062"/>
      <c r="AA115" s="1546"/>
      <c r="AB115" s="490"/>
      <c r="AC115" s="490"/>
      <c r="AD115" s="490"/>
      <c r="AE115" s="490"/>
    </row>
    <row r="116" spans="1:31" s="1907" customFormat="1" ht="11.25" customHeight="1">
      <c r="A116" s="897"/>
      <c r="B116" s="1550"/>
      <c r="C116" s="1550"/>
      <c r="D116" s="275"/>
      <c r="K116" s="1062"/>
      <c r="L116" s="1550"/>
      <c r="M116" s="1550"/>
      <c r="N116" s="1062"/>
      <c r="O116" s="1062"/>
      <c r="P116" s="1062"/>
      <c r="Q116" s="1062"/>
      <c r="R116" s="1550"/>
      <c r="S116" s="1062"/>
      <c r="T116" s="1062"/>
      <c r="U116" s="468"/>
      <c r="V116" s="1062"/>
      <c r="W116" s="1062"/>
      <c r="X116" s="1062"/>
      <c r="Y116" s="1062"/>
      <c r="Z116" s="1062"/>
      <c r="AA116" s="1546"/>
      <c r="AB116" s="490"/>
      <c r="AC116" s="490"/>
      <c r="AD116" s="490"/>
      <c r="AE116" s="490"/>
    </row>
    <row r="117" spans="1:31" s="1907" customFormat="1" ht="11.25" customHeight="1">
      <c r="A117" s="897"/>
      <c r="B117" s="1550"/>
      <c r="C117" s="1550"/>
      <c r="D117" s="275"/>
      <c r="K117" s="1062"/>
      <c r="L117" s="1550"/>
      <c r="M117" s="1550"/>
      <c r="N117" s="1062"/>
      <c r="O117" s="1062"/>
      <c r="P117" s="1062"/>
      <c r="Q117" s="1062"/>
      <c r="R117" s="1550"/>
      <c r="S117" s="1062"/>
      <c r="T117" s="1062"/>
      <c r="U117" s="468"/>
      <c r="V117" s="1062"/>
      <c r="W117" s="1062"/>
      <c r="X117" s="1062"/>
      <c r="Y117" s="1062"/>
      <c r="Z117" s="1062"/>
      <c r="AA117" s="1546"/>
      <c r="AB117" s="490"/>
      <c r="AC117" s="490"/>
      <c r="AD117" s="490"/>
      <c r="AE117" s="490"/>
    </row>
    <row r="118" spans="1:31" s="1907" customFormat="1" ht="11.25" customHeight="1">
      <c r="A118" s="897"/>
      <c r="B118" s="1550"/>
      <c r="C118" s="1550"/>
      <c r="D118" s="275"/>
      <c r="K118" s="1062"/>
      <c r="L118" s="1550"/>
      <c r="M118" s="1550"/>
      <c r="N118" s="1062"/>
      <c r="O118" s="1062"/>
      <c r="P118" s="1062"/>
      <c r="Q118" s="1062"/>
      <c r="R118" s="1550"/>
      <c r="S118" s="1062"/>
      <c r="T118" s="1062"/>
      <c r="U118" s="468"/>
      <c r="V118" s="1062"/>
      <c r="W118" s="1062"/>
      <c r="X118" s="1062"/>
      <c r="Y118" s="1062"/>
      <c r="Z118" s="1062"/>
      <c r="AA118" s="1546"/>
      <c r="AB118" s="490"/>
      <c r="AC118" s="490"/>
      <c r="AD118" s="490"/>
      <c r="AE118" s="490"/>
    </row>
    <row r="119" spans="1:31" s="1907" customFormat="1" ht="11.25" customHeight="1">
      <c r="A119" s="897"/>
      <c r="B119" s="1550"/>
      <c r="C119" s="1550"/>
      <c r="D119" s="275"/>
      <c r="K119" s="1062"/>
      <c r="L119" s="1550"/>
      <c r="M119" s="1550"/>
      <c r="N119" s="1062"/>
      <c r="O119" s="1062"/>
      <c r="P119" s="1062"/>
      <c r="Q119" s="1062"/>
      <c r="R119" s="1550"/>
      <c r="S119" s="1062"/>
      <c r="T119" s="1062"/>
      <c r="U119" s="468"/>
      <c r="V119" s="1062"/>
      <c r="W119" s="1062"/>
      <c r="X119" s="1062"/>
      <c r="Y119" s="1062"/>
      <c r="Z119" s="1062"/>
      <c r="AA119" s="1546"/>
      <c r="AB119" s="490"/>
      <c r="AC119" s="490"/>
      <c r="AD119" s="490"/>
      <c r="AE119" s="490"/>
    </row>
    <row r="120" spans="1:31" s="1907" customFormat="1" ht="11.25" customHeight="1">
      <c r="A120" s="897"/>
      <c r="B120" s="1550"/>
      <c r="C120" s="1550"/>
      <c r="D120" s="275"/>
      <c r="K120" s="1062"/>
      <c r="L120" s="1550"/>
      <c r="M120" s="1550"/>
      <c r="N120" s="1062"/>
      <c r="O120" s="1062"/>
      <c r="P120" s="1062"/>
      <c r="Q120" s="1062"/>
      <c r="R120" s="1550"/>
      <c r="S120" s="1062"/>
      <c r="T120" s="1062"/>
      <c r="U120" s="468"/>
      <c r="V120" s="1062"/>
      <c r="W120" s="1062"/>
      <c r="X120" s="1062"/>
      <c r="Y120" s="1062"/>
      <c r="Z120" s="1062"/>
      <c r="AA120" s="1546"/>
      <c r="AB120" s="490"/>
      <c r="AC120" s="490"/>
      <c r="AD120" s="490"/>
      <c r="AE120" s="490"/>
    </row>
    <row r="121" spans="1:31" s="1907" customFormat="1" ht="11.25" customHeight="1">
      <c r="A121" s="897"/>
      <c r="B121" s="1550"/>
      <c r="C121" s="1550"/>
      <c r="D121" s="275"/>
      <c r="K121" s="1062"/>
      <c r="L121" s="1550"/>
      <c r="M121" s="1550"/>
      <c r="N121" s="1062"/>
      <c r="O121" s="1062"/>
      <c r="P121" s="1062"/>
      <c r="Q121" s="1062"/>
      <c r="R121" s="1550"/>
      <c r="S121" s="1062"/>
      <c r="T121" s="1062"/>
      <c r="U121" s="468"/>
      <c r="V121" s="1062"/>
      <c r="W121" s="1062"/>
      <c r="X121" s="1062"/>
      <c r="Y121" s="1062"/>
      <c r="Z121" s="1062"/>
      <c r="AA121" s="1546"/>
      <c r="AB121" s="490"/>
      <c r="AC121" s="490"/>
      <c r="AD121" s="490"/>
      <c r="AE121" s="490"/>
    </row>
    <row r="122" spans="1:31" s="1907" customFormat="1" ht="11.25" customHeight="1">
      <c r="A122" s="897"/>
      <c r="B122" s="1550"/>
      <c r="C122" s="1550"/>
      <c r="D122" s="275"/>
      <c r="K122" s="1062"/>
      <c r="L122" s="1550"/>
      <c r="M122" s="1550"/>
      <c r="N122" s="1062"/>
      <c r="O122" s="1062"/>
      <c r="P122" s="1062"/>
      <c r="Q122" s="1062"/>
      <c r="R122" s="1550"/>
      <c r="S122" s="1062"/>
      <c r="T122" s="1062"/>
      <c r="U122" s="468"/>
      <c r="V122" s="1062"/>
      <c r="W122" s="1062"/>
      <c r="X122" s="1062"/>
      <c r="Y122" s="1062"/>
      <c r="Z122" s="1062"/>
      <c r="AA122" s="1546"/>
      <c r="AB122" s="490"/>
      <c r="AC122" s="490"/>
      <c r="AD122" s="490"/>
      <c r="AE122" s="490"/>
    </row>
    <row r="123" spans="1:31" s="1907" customFormat="1" ht="11.25" customHeight="1">
      <c r="A123" s="897"/>
      <c r="B123" s="1550"/>
      <c r="C123" s="1550"/>
      <c r="D123" s="275"/>
      <c r="K123" s="1062"/>
      <c r="L123" s="1550"/>
      <c r="M123" s="1550"/>
      <c r="N123" s="1062"/>
      <c r="O123" s="1062"/>
      <c r="P123" s="1062"/>
      <c r="Q123" s="1062"/>
      <c r="R123" s="1550"/>
      <c r="S123" s="1062"/>
      <c r="T123" s="1062"/>
      <c r="U123" s="468"/>
      <c r="V123" s="1062"/>
      <c r="W123" s="1062"/>
      <c r="X123" s="1062"/>
      <c r="Y123" s="1062"/>
      <c r="Z123" s="1062"/>
      <c r="AA123" s="1546"/>
      <c r="AB123" s="490"/>
      <c r="AC123" s="490"/>
      <c r="AD123" s="490"/>
      <c r="AE123" s="490"/>
    </row>
    <row r="124" spans="1:31" s="1907" customFormat="1" ht="11.25" customHeight="1">
      <c r="A124" s="897"/>
      <c r="B124" s="1550"/>
      <c r="C124" s="1550"/>
      <c r="D124" s="275"/>
      <c r="K124" s="1062"/>
      <c r="L124" s="1550"/>
      <c r="M124" s="1550"/>
      <c r="N124" s="1062"/>
      <c r="O124" s="1062"/>
      <c r="P124" s="1062"/>
      <c r="Q124" s="1062"/>
      <c r="R124" s="1550"/>
      <c r="S124" s="1062"/>
      <c r="T124" s="1062"/>
      <c r="U124" s="468"/>
      <c r="V124" s="1062"/>
      <c r="W124" s="1062"/>
      <c r="X124" s="1062"/>
      <c r="Y124" s="1062"/>
      <c r="Z124" s="1062"/>
      <c r="AA124" s="1546"/>
      <c r="AB124" s="490"/>
      <c r="AC124" s="490"/>
      <c r="AD124" s="490"/>
      <c r="AE124" s="490"/>
    </row>
    <row r="125" spans="1:31" s="1907" customFormat="1" ht="11.25" customHeight="1">
      <c r="A125" s="897"/>
      <c r="B125" s="1550"/>
      <c r="C125" s="1550"/>
      <c r="D125" s="275"/>
      <c r="K125" s="1062"/>
      <c r="L125" s="1550"/>
      <c r="M125" s="1550"/>
      <c r="N125" s="1062"/>
      <c r="O125" s="1062"/>
      <c r="P125" s="1062"/>
      <c r="Q125" s="1062"/>
      <c r="R125" s="1550"/>
      <c r="S125" s="1062"/>
      <c r="T125" s="1062"/>
      <c r="U125" s="468"/>
      <c r="V125" s="1062"/>
      <c r="W125" s="1062"/>
      <c r="X125" s="1062"/>
      <c r="Y125" s="1062"/>
      <c r="Z125" s="1062"/>
      <c r="AA125" s="1546"/>
      <c r="AB125" s="490"/>
      <c r="AC125" s="490"/>
      <c r="AD125" s="490"/>
      <c r="AE125" s="490"/>
    </row>
    <row r="126" spans="1:31" s="1907" customFormat="1" ht="11.25" customHeight="1">
      <c r="A126" s="897"/>
      <c r="B126" s="1550"/>
      <c r="C126" s="1550"/>
      <c r="D126" s="275"/>
      <c r="K126" s="1062"/>
      <c r="L126" s="1550"/>
      <c r="M126" s="1550"/>
      <c r="N126" s="1062"/>
      <c r="O126" s="1062"/>
      <c r="P126" s="1062"/>
      <c r="Q126" s="1062"/>
      <c r="R126" s="1550"/>
      <c r="S126" s="1062"/>
      <c r="T126" s="1062"/>
      <c r="U126" s="468"/>
      <c r="V126" s="1062"/>
      <c r="W126" s="1062"/>
      <c r="X126" s="1062"/>
      <c r="Y126" s="1062"/>
      <c r="Z126" s="1062"/>
      <c r="AA126" s="1546"/>
      <c r="AB126" s="490"/>
      <c r="AC126" s="490"/>
      <c r="AD126" s="490"/>
      <c r="AE126" s="490"/>
    </row>
    <row r="127" spans="1:31" s="1907" customFormat="1" ht="11.25" customHeight="1">
      <c r="A127" s="897"/>
      <c r="B127" s="1550"/>
      <c r="C127" s="1550"/>
      <c r="D127" s="275"/>
      <c r="K127" s="1062"/>
      <c r="L127" s="1550"/>
      <c r="M127" s="1550"/>
      <c r="N127" s="1062"/>
      <c r="O127" s="1062"/>
      <c r="P127" s="1062"/>
      <c r="Q127" s="1062"/>
      <c r="R127" s="1550"/>
      <c r="S127" s="1062"/>
      <c r="T127" s="1062"/>
      <c r="U127" s="468"/>
      <c r="V127" s="1062"/>
      <c r="W127" s="1062"/>
      <c r="X127" s="1062"/>
      <c r="Y127" s="1062"/>
      <c r="Z127" s="1062"/>
      <c r="AA127" s="1546"/>
      <c r="AB127" s="490"/>
      <c r="AC127" s="490"/>
      <c r="AD127" s="490"/>
      <c r="AE127" s="490"/>
    </row>
    <row r="128" spans="1:31" s="1907" customFormat="1" ht="11.25" customHeight="1">
      <c r="A128" s="897"/>
      <c r="B128" s="1550"/>
      <c r="C128" s="1550"/>
      <c r="D128" s="275"/>
      <c r="K128" s="1062"/>
      <c r="L128" s="1550"/>
      <c r="M128" s="1550"/>
      <c r="N128" s="1062"/>
      <c r="O128" s="1062"/>
      <c r="P128" s="1062"/>
      <c r="Q128" s="1062"/>
      <c r="R128" s="1550"/>
      <c r="S128" s="1062"/>
      <c r="T128" s="1062"/>
      <c r="U128" s="468"/>
      <c r="V128" s="1062"/>
      <c r="W128" s="1062"/>
      <c r="X128" s="1062"/>
      <c r="Y128" s="1062"/>
      <c r="Z128" s="1062"/>
      <c r="AA128" s="1546"/>
      <c r="AB128" s="490"/>
      <c r="AC128" s="490"/>
      <c r="AD128" s="490"/>
      <c r="AE128" s="490"/>
    </row>
    <row r="129" spans="1:31" s="1907" customFormat="1" ht="11.25" customHeight="1">
      <c r="A129" s="897"/>
      <c r="B129" s="1550"/>
      <c r="C129" s="1550"/>
      <c r="D129" s="275"/>
      <c r="K129" s="1062"/>
      <c r="L129" s="1550"/>
      <c r="M129" s="1550"/>
      <c r="N129" s="1062"/>
      <c r="O129" s="1062"/>
      <c r="P129" s="1062"/>
      <c r="Q129" s="1062"/>
      <c r="R129" s="1550"/>
      <c r="S129" s="1062"/>
      <c r="T129" s="1062"/>
      <c r="U129" s="468"/>
      <c r="V129" s="1062"/>
      <c r="W129" s="1062"/>
      <c r="X129" s="1062"/>
      <c r="Y129" s="1062"/>
      <c r="Z129" s="1062"/>
      <c r="AA129" s="1546"/>
      <c r="AB129" s="490"/>
      <c r="AC129" s="490"/>
      <c r="AD129" s="490"/>
      <c r="AE129" s="490"/>
    </row>
    <row r="130" spans="1:31" s="1907" customFormat="1" ht="11.25" customHeight="1">
      <c r="A130" s="897"/>
      <c r="B130" s="1550"/>
      <c r="C130" s="1550"/>
      <c r="D130" s="275"/>
      <c r="K130" s="1062"/>
      <c r="L130" s="1550"/>
      <c r="M130" s="1550"/>
      <c r="N130" s="1062"/>
      <c r="O130" s="1062"/>
      <c r="P130" s="1062"/>
      <c r="Q130" s="1062"/>
      <c r="R130" s="1550"/>
      <c r="S130" s="1062"/>
      <c r="T130" s="1062"/>
      <c r="U130" s="468"/>
      <c r="V130" s="1062"/>
      <c r="W130" s="1062"/>
      <c r="X130" s="1062"/>
      <c r="Y130" s="1062"/>
      <c r="Z130" s="1062"/>
      <c r="AA130" s="1546"/>
      <c r="AB130" s="490"/>
      <c r="AC130" s="490"/>
      <c r="AD130" s="490"/>
      <c r="AE130" s="490"/>
    </row>
    <row r="131" spans="1:31" s="1907" customFormat="1" ht="11.25" customHeight="1">
      <c r="A131" s="897"/>
      <c r="B131" s="1550"/>
      <c r="C131" s="1550"/>
      <c r="D131" s="275"/>
      <c r="K131" s="1062"/>
      <c r="L131" s="1550"/>
      <c r="M131" s="1550"/>
      <c r="N131" s="1062"/>
      <c r="O131" s="1062"/>
      <c r="P131" s="1062"/>
      <c r="Q131" s="1062"/>
      <c r="R131" s="1550"/>
      <c r="S131" s="1062"/>
      <c r="T131" s="1062"/>
      <c r="U131" s="468"/>
      <c r="V131" s="1062"/>
      <c r="W131" s="1062"/>
      <c r="X131" s="1062"/>
      <c r="Y131" s="1062"/>
      <c r="Z131" s="1062"/>
      <c r="AA131" s="1546"/>
      <c r="AB131" s="490"/>
      <c r="AC131" s="490"/>
      <c r="AD131" s="490"/>
      <c r="AE131" s="490"/>
    </row>
    <row r="132" spans="1:31" s="1907" customFormat="1" ht="11.25" customHeight="1">
      <c r="A132" s="897"/>
      <c r="B132" s="1550"/>
      <c r="C132" s="1550"/>
      <c r="D132" s="275"/>
      <c r="K132" s="1062"/>
      <c r="L132" s="1550"/>
      <c r="M132" s="1550"/>
      <c r="N132" s="1062"/>
      <c r="O132" s="1062"/>
      <c r="P132" s="1062"/>
      <c r="Q132" s="1062"/>
      <c r="R132" s="1550"/>
      <c r="S132" s="1062"/>
      <c r="T132" s="1062"/>
      <c r="U132" s="468"/>
      <c r="V132" s="1062"/>
      <c r="W132" s="1062"/>
      <c r="X132" s="1062"/>
      <c r="Y132" s="1062"/>
      <c r="Z132" s="1062"/>
      <c r="AA132" s="1546"/>
      <c r="AB132" s="490"/>
      <c r="AC132" s="490"/>
      <c r="AD132" s="490"/>
      <c r="AE132" s="490"/>
    </row>
    <row r="133" spans="1:31" s="1907" customFormat="1" ht="11.25" customHeight="1">
      <c r="A133" s="897"/>
      <c r="B133" s="1550"/>
      <c r="C133" s="1550"/>
      <c r="D133" s="275"/>
      <c r="K133" s="1062"/>
      <c r="L133" s="1550"/>
      <c r="M133" s="1550"/>
      <c r="N133" s="1062"/>
      <c r="O133" s="1062"/>
      <c r="P133" s="1062"/>
      <c r="Q133" s="1062"/>
      <c r="R133" s="1550"/>
      <c r="S133" s="1062"/>
      <c r="T133" s="1062"/>
      <c r="U133" s="468"/>
      <c r="V133" s="1062"/>
      <c r="W133" s="1062"/>
      <c r="X133" s="1062"/>
      <c r="Y133" s="1062"/>
      <c r="Z133" s="1062"/>
      <c r="AA133" s="1546"/>
      <c r="AB133" s="490"/>
      <c r="AC133" s="490"/>
      <c r="AD133" s="490"/>
      <c r="AE133" s="490"/>
    </row>
    <row r="134" spans="1:31" s="1907" customFormat="1" ht="11.25" customHeight="1">
      <c r="A134" s="897"/>
      <c r="B134" s="1550"/>
      <c r="C134" s="1550"/>
      <c r="D134" s="275"/>
      <c r="K134" s="1062"/>
      <c r="L134" s="1550"/>
      <c r="M134" s="1550"/>
      <c r="N134" s="1062"/>
      <c r="O134" s="1062"/>
      <c r="P134" s="1062"/>
      <c r="Q134" s="1062"/>
      <c r="R134" s="1550"/>
      <c r="S134" s="1062"/>
      <c r="T134" s="1062"/>
      <c r="U134" s="468"/>
      <c r="V134" s="1062"/>
      <c r="W134" s="1062"/>
      <c r="X134" s="1062"/>
      <c r="Y134" s="1062"/>
      <c r="Z134" s="1062"/>
      <c r="AA134" s="1546"/>
      <c r="AB134" s="490"/>
      <c r="AC134" s="490"/>
      <c r="AD134" s="490"/>
      <c r="AE134" s="490"/>
    </row>
    <row r="135" spans="1:31" s="1907" customFormat="1" ht="11.25" customHeight="1">
      <c r="A135" s="897"/>
      <c r="B135" s="1550"/>
      <c r="C135" s="1550"/>
      <c r="D135" s="275"/>
      <c r="K135" s="1062"/>
      <c r="L135" s="1550"/>
      <c r="M135" s="1550"/>
      <c r="N135" s="1062"/>
      <c r="O135" s="1062"/>
      <c r="P135" s="1062"/>
      <c r="Q135" s="1062"/>
      <c r="R135" s="1550"/>
      <c r="S135" s="1062"/>
      <c r="T135" s="1062"/>
      <c r="U135" s="468"/>
      <c r="V135" s="1062"/>
      <c r="W135" s="1062"/>
      <c r="X135" s="1062"/>
      <c r="Y135" s="1062"/>
      <c r="Z135" s="1062"/>
      <c r="AA135" s="1546"/>
      <c r="AB135" s="490"/>
      <c r="AC135" s="490"/>
      <c r="AD135" s="490"/>
      <c r="AE135" s="490"/>
    </row>
    <row r="136" spans="1:31" s="1907" customFormat="1" ht="11.25" customHeight="1">
      <c r="A136" s="897"/>
      <c r="B136" s="1550"/>
      <c r="C136" s="1550"/>
      <c r="D136" s="275"/>
      <c r="K136" s="1062"/>
      <c r="L136" s="1550"/>
      <c r="M136" s="1550"/>
      <c r="N136" s="1062"/>
      <c r="O136" s="1062"/>
      <c r="P136" s="1062"/>
      <c r="Q136" s="1062"/>
      <c r="R136" s="1550"/>
      <c r="S136" s="1062"/>
      <c r="T136" s="1062"/>
      <c r="U136" s="468"/>
      <c r="V136" s="1062"/>
      <c r="W136" s="1062"/>
      <c r="X136" s="1062"/>
      <c r="Y136" s="1062"/>
      <c r="Z136" s="1062"/>
      <c r="AA136" s="1546"/>
      <c r="AB136" s="490"/>
      <c r="AC136" s="490"/>
      <c r="AD136" s="490"/>
      <c r="AE136" s="490"/>
    </row>
    <row r="137" spans="1:31" s="1907" customFormat="1" ht="11.25" customHeight="1">
      <c r="A137" s="897"/>
      <c r="B137" s="1550"/>
      <c r="C137" s="1550"/>
      <c r="D137" s="275"/>
      <c r="K137" s="1062"/>
      <c r="L137" s="1550"/>
      <c r="M137" s="1550"/>
      <c r="N137" s="1062"/>
      <c r="O137" s="1062"/>
      <c r="P137" s="1062"/>
      <c r="Q137" s="1062"/>
      <c r="R137" s="1550"/>
      <c r="S137" s="1062"/>
      <c r="T137" s="1062"/>
      <c r="U137" s="468"/>
      <c r="V137" s="1062"/>
      <c r="W137" s="1062"/>
      <c r="X137" s="1062"/>
      <c r="Y137" s="1062"/>
      <c r="Z137" s="1062"/>
      <c r="AA137" s="1546"/>
      <c r="AB137" s="490"/>
      <c r="AC137" s="490"/>
      <c r="AD137" s="490"/>
      <c r="AE137" s="490"/>
    </row>
    <row r="138" spans="1:31" s="1907" customFormat="1" ht="11.25" customHeight="1">
      <c r="A138" s="897"/>
      <c r="B138" s="1550"/>
      <c r="C138" s="1550"/>
      <c r="D138" s="275"/>
      <c r="K138" s="1062"/>
      <c r="L138" s="1550"/>
      <c r="M138" s="1550"/>
      <c r="N138" s="1062"/>
      <c r="O138" s="1062"/>
      <c r="P138" s="1062"/>
      <c r="Q138" s="1062"/>
      <c r="R138" s="1550"/>
      <c r="S138" s="1062"/>
      <c r="T138" s="1062"/>
      <c r="U138" s="468"/>
      <c r="V138" s="1062"/>
      <c r="W138" s="1062"/>
      <c r="X138" s="1062"/>
      <c r="Y138" s="1062"/>
      <c r="Z138" s="1062"/>
      <c r="AA138" s="1546"/>
      <c r="AB138" s="490"/>
      <c r="AC138" s="490"/>
      <c r="AD138" s="490"/>
      <c r="AE138" s="490"/>
    </row>
    <row r="139" spans="1:31" s="1907" customFormat="1" ht="11.25" customHeight="1">
      <c r="A139" s="897"/>
      <c r="B139" s="1550"/>
      <c r="C139" s="1550"/>
      <c r="D139" s="275"/>
      <c r="K139" s="1062"/>
      <c r="L139" s="1550"/>
      <c r="M139" s="1550"/>
      <c r="N139" s="1062"/>
      <c r="O139" s="1062"/>
      <c r="P139" s="1062"/>
      <c r="Q139" s="1062"/>
      <c r="R139" s="1550"/>
      <c r="S139" s="1062"/>
      <c r="T139" s="1062"/>
      <c r="U139" s="468"/>
      <c r="V139" s="1062"/>
      <c r="W139" s="1062"/>
      <c r="X139" s="1062"/>
      <c r="Y139" s="1062"/>
      <c r="Z139" s="1062"/>
      <c r="AA139" s="1546"/>
      <c r="AB139" s="490"/>
      <c r="AC139" s="490"/>
      <c r="AD139" s="490"/>
      <c r="AE139" s="490"/>
    </row>
    <row r="140" spans="1:31" s="1907" customFormat="1" ht="11.25" customHeight="1">
      <c r="A140" s="897"/>
      <c r="B140" s="1550"/>
      <c r="C140" s="1550"/>
      <c r="D140" s="275"/>
      <c r="K140" s="1062"/>
      <c r="L140" s="1550"/>
      <c r="M140" s="1550"/>
      <c r="N140" s="1062"/>
      <c r="O140" s="1062"/>
      <c r="P140" s="1062"/>
      <c r="Q140" s="1062"/>
      <c r="R140" s="1550"/>
      <c r="S140" s="1062"/>
      <c r="T140" s="1062"/>
      <c r="U140" s="468"/>
      <c r="V140" s="1062"/>
      <c r="W140" s="1062"/>
      <c r="X140" s="1062"/>
      <c r="Y140" s="1062"/>
      <c r="Z140" s="1062"/>
      <c r="AA140" s="1546"/>
      <c r="AB140" s="490"/>
      <c r="AC140" s="490"/>
      <c r="AD140" s="490"/>
      <c r="AE140" s="490"/>
    </row>
    <row r="141" spans="1:31" s="1907" customFormat="1" ht="11.25" customHeight="1">
      <c r="A141" s="897"/>
      <c r="B141" s="1550"/>
      <c r="C141" s="1550"/>
      <c r="D141" s="275"/>
      <c r="K141" s="1062"/>
      <c r="L141" s="1550"/>
      <c r="M141" s="1550"/>
      <c r="N141" s="1062"/>
      <c r="O141" s="1062"/>
      <c r="P141" s="1062"/>
      <c r="Q141" s="1062"/>
      <c r="R141" s="1550"/>
      <c r="S141" s="1062"/>
      <c r="T141" s="1062"/>
      <c r="U141" s="468"/>
      <c r="V141" s="1062"/>
      <c r="W141" s="1062"/>
      <c r="X141" s="1062"/>
      <c r="Y141" s="1062"/>
      <c r="Z141" s="1062"/>
      <c r="AA141" s="1546"/>
      <c r="AB141" s="490"/>
      <c r="AC141" s="490"/>
      <c r="AD141" s="490"/>
      <c r="AE141" s="490"/>
    </row>
    <row r="142" spans="1:31" s="1907" customFormat="1" ht="11.25" customHeight="1">
      <c r="A142" s="897"/>
      <c r="B142" s="1550"/>
      <c r="C142" s="1550"/>
      <c r="D142" s="275"/>
      <c r="K142" s="1062"/>
      <c r="L142" s="1550"/>
      <c r="M142" s="1550"/>
      <c r="N142" s="1062"/>
      <c r="O142" s="1062"/>
      <c r="P142" s="1062"/>
      <c r="Q142" s="1062"/>
      <c r="R142" s="1550"/>
      <c r="S142" s="1062"/>
      <c r="T142" s="1062"/>
      <c r="U142" s="468"/>
      <c r="V142" s="1062"/>
      <c r="W142" s="1062"/>
      <c r="X142" s="1062"/>
      <c r="Y142" s="1062"/>
      <c r="Z142" s="1062"/>
      <c r="AA142" s="1546"/>
      <c r="AB142" s="490"/>
      <c r="AC142" s="490"/>
      <c r="AD142" s="490"/>
      <c r="AE142" s="490"/>
    </row>
    <row r="143" spans="1:31" s="1907" customFormat="1" ht="11.25" customHeight="1">
      <c r="A143" s="897"/>
      <c r="B143" s="1550"/>
      <c r="C143" s="1550"/>
      <c r="D143" s="275"/>
      <c r="K143" s="1062"/>
      <c r="L143" s="1550"/>
      <c r="M143" s="1550"/>
      <c r="N143" s="1062"/>
      <c r="O143" s="1062"/>
      <c r="P143" s="1062"/>
      <c r="Q143" s="1062"/>
      <c r="R143" s="1550"/>
      <c r="S143" s="1062"/>
      <c r="T143" s="1062"/>
      <c r="U143" s="468"/>
      <c r="V143" s="1062"/>
      <c r="W143" s="1062"/>
      <c r="X143" s="1062"/>
      <c r="Y143" s="1062"/>
      <c r="Z143" s="1062"/>
      <c r="AA143" s="1546"/>
      <c r="AB143" s="490"/>
      <c r="AC143" s="490"/>
      <c r="AD143" s="490"/>
      <c r="AE143" s="490"/>
    </row>
    <row r="144" spans="1:31" s="1907" customFormat="1" ht="11.25" customHeight="1">
      <c r="A144" s="897"/>
      <c r="B144" s="1550"/>
      <c r="C144" s="1550"/>
      <c r="D144" s="275"/>
      <c r="K144" s="1062"/>
      <c r="L144" s="1550"/>
      <c r="M144" s="1550"/>
      <c r="N144" s="1062"/>
      <c r="O144" s="1062"/>
      <c r="P144" s="1062"/>
      <c r="Q144" s="1062"/>
      <c r="R144" s="1550"/>
      <c r="S144" s="1062"/>
      <c r="T144" s="1062"/>
      <c r="U144" s="468"/>
      <c r="V144" s="1062"/>
      <c r="W144" s="1062"/>
      <c r="X144" s="1062"/>
      <c r="Y144" s="1062"/>
      <c r="Z144" s="1062"/>
      <c r="AA144" s="1546"/>
      <c r="AB144" s="490"/>
      <c r="AC144" s="490"/>
      <c r="AD144" s="490"/>
      <c r="AE144" s="490"/>
    </row>
    <row r="145" spans="1:31" s="1907" customFormat="1" ht="11.25" customHeight="1">
      <c r="A145" s="897"/>
      <c r="B145" s="1550"/>
      <c r="C145" s="1550"/>
      <c r="D145" s="275"/>
      <c r="K145" s="1062"/>
      <c r="L145" s="1550"/>
      <c r="M145" s="1550"/>
      <c r="N145" s="1062"/>
      <c r="O145" s="1062"/>
      <c r="P145" s="1062"/>
      <c r="Q145" s="1062"/>
      <c r="R145" s="1550"/>
      <c r="S145" s="1062"/>
      <c r="T145" s="1062"/>
      <c r="U145" s="468"/>
      <c r="V145" s="1062"/>
      <c r="W145" s="1062"/>
      <c r="X145" s="1062"/>
      <c r="Y145" s="1062"/>
      <c r="Z145" s="1062"/>
      <c r="AA145" s="1546"/>
      <c r="AB145" s="490"/>
      <c r="AC145" s="490"/>
      <c r="AD145" s="490"/>
      <c r="AE145" s="490"/>
    </row>
    <row r="146" spans="1:31" s="1907" customFormat="1" ht="11.25" customHeight="1">
      <c r="A146" s="897"/>
      <c r="B146" s="1550"/>
      <c r="C146" s="1550"/>
      <c r="D146" s="275"/>
      <c r="K146" s="1062"/>
      <c r="L146" s="1550"/>
      <c r="M146" s="1550"/>
      <c r="N146" s="1062"/>
      <c r="O146" s="1062"/>
      <c r="P146" s="1062"/>
      <c r="Q146" s="1062"/>
      <c r="R146" s="1550"/>
      <c r="S146" s="1062"/>
      <c r="T146" s="1062"/>
      <c r="U146" s="468"/>
      <c r="V146" s="1062"/>
      <c r="W146" s="1062"/>
      <c r="X146" s="1062"/>
      <c r="Y146" s="1062"/>
      <c r="Z146" s="1062"/>
      <c r="AA146" s="1546"/>
      <c r="AB146" s="490"/>
      <c r="AC146" s="490"/>
      <c r="AD146" s="490"/>
      <c r="AE146" s="490"/>
    </row>
    <row r="147" spans="1:31" s="1907" customFormat="1" ht="11.25" customHeight="1">
      <c r="A147" s="897"/>
      <c r="B147" s="1550"/>
      <c r="C147" s="1550"/>
      <c r="D147" s="275"/>
      <c r="K147" s="1062"/>
      <c r="L147" s="1550"/>
      <c r="M147" s="1550"/>
      <c r="N147" s="1062"/>
      <c r="O147" s="1062"/>
      <c r="P147" s="1062"/>
      <c r="Q147" s="1062"/>
      <c r="R147" s="1550"/>
      <c r="S147" s="1062"/>
      <c r="T147" s="1062"/>
      <c r="U147" s="468"/>
      <c r="V147" s="1062"/>
      <c r="W147" s="1062"/>
      <c r="X147" s="1062"/>
      <c r="Y147" s="1062"/>
      <c r="Z147" s="1062"/>
      <c r="AA147" s="1546"/>
      <c r="AB147" s="490"/>
      <c r="AC147" s="490"/>
      <c r="AD147" s="490"/>
      <c r="AE147" s="490"/>
    </row>
    <row r="148" spans="1:31" s="1907" customFormat="1" ht="11.25" customHeight="1">
      <c r="A148" s="897"/>
      <c r="B148" s="1550"/>
      <c r="C148" s="1550"/>
      <c r="D148" s="275"/>
      <c r="K148" s="1062"/>
      <c r="L148" s="1550"/>
      <c r="M148" s="1550"/>
      <c r="N148" s="1062"/>
      <c r="O148" s="1062"/>
      <c r="P148" s="1062"/>
      <c r="Q148" s="1062"/>
      <c r="R148" s="1550"/>
      <c r="S148" s="1062"/>
      <c r="T148" s="1062"/>
      <c r="U148" s="468"/>
      <c r="V148" s="1062"/>
      <c r="W148" s="1062"/>
      <c r="X148" s="1062"/>
      <c r="Y148" s="1062"/>
      <c r="Z148" s="1062"/>
      <c r="AA148" s="1546"/>
      <c r="AB148" s="490"/>
      <c r="AC148" s="490"/>
      <c r="AD148" s="490"/>
      <c r="AE148" s="490"/>
    </row>
    <row r="149" spans="1:31" s="1907" customFormat="1" ht="11.25" customHeight="1">
      <c r="A149" s="897"/>
      <c r="B149" s="1550"/>
      <c r="C149" s="1550"/>
      <c r="D149" s="275"/>
      <c r="K149" s="1062"/>
      <c r="L149" s="1550"/>
      <c r="M149" s="1550"/>
      <c r="N149" s="1062"/>
      <c r="O149" s="1062"/>
      <c r="P149" s="1062"/>
      <c r="Q149" s="1062"/>
      <c r="R149" s="1550"/>
      <c r="S149" s="1062"/>
      <c r="T149" s="1062"/>
      <c r="U149" s="468"/>
      <c r="V149" s="1062"/>
      <c r="W149" s="1062"/>
      <c r="X149" s="1062"/>
      <c r="Y149" s="1062"/>
      <c r="Z149" s="1062"/>
      <c r="AA149" s="1546"/>
      <c r="AB149" s="490"/>
      <c r="AC149" s="490"/>
      <c r="AD149" s="490"/>
      <c r="AE149" s="490"/>
    </row>
    <row r="150" spans="1:31" s="1907" customFormat="1" ht="11.25" customHeight="1">
      <c r="A150" s="897"/>
      <c r="B150" s="1550"/>
      <c r="C150" s="1550"/>
      <c r="D150" s="275"/>
      <c r="K150" s="1062"/>
      <c r="L150" s="1550"/>
      <c r="M150" s="1550"/>
      <c r="N150" s="1062"/>
      <c r="O150" s="1062"/>
      <c r="P150" s="1062"/>
      <c r="Q150" s="1062"/>
      <c r="R150" s="1550"/>
      <c r="S150" s="1062"/>
      <c r="T150" s="1062"/>
      <c r="U150" s="468"/>
      <c r="V150" s="1062"/>
      <c r="W150" s="1062"/>
      <c r="X150" s="1062"/>
      <c r="Y150" s="1062"/>
      <c r="Z150" s="1062"/>
      <c r="AA150" s="1546"/>
      <c r="AB150" s="490"/>
      <c r="AC150" s="490"/>
      <c r="AD150" s="490"/>
      <c r="AE150" s="490"/>
    </row>
    <row r="151" spans="1:31" s="1907" customFormat="1" ht="11.25" customHeight="1">
      <c r="A151" s="897"/>
      <c r="B151" s="1550"/>
      <c r="C151" s="1550"/>
      <c r="D151" s="275"/>
      <c r="K151" s="1062"/>
      <c r="L151" s="1550"/>
      <c r="M151" s="1550"/>
      <c r="N151" s="1062"/>
      <c r="O151" s="1062"/>
      <c r="P151" s="1062"/>
      <c r="Q151" s="1062"/>
      <c r="R151" s="1550"/>
      <c r="S151" s="1062"/>
      <c r="T151" s="1062"/>
      <c r="U151" s="468"/>
      <c r="V151" s="1062"/>
      <c r="W151" s="1062"/>
      <c r="X151" s="1062"/>
      <c r="Y151" s="1062"/>
      <c r="Z151" s="1062"/>
      <c r="AA151" s="1546"/>
      <c r="AB151" s="490"/>
      <c r="AC151" s="490"/>
      <c r="AD151" s="490"/>
      <c r="AE151" s="490"/>
    </row>
    <row r="152" spans="1:31" s="1907" customFormat="1" ht="11.25" customHeight="1">
      <c r="A152" s="897"/>
      <c r="B152" s="1550"/>
      <c r="C152" s="1550"/>
      <c r="D152" s="275"/>
      <c r="K152" s="1062"/>
      <c r="L152" s="1550"/>
      <c r="M152" s="1550"/>
      <c r="N152" s="1062"/>
      <c r="O152" s="1062"/>
      <c r="P152" s="1062"/>
      <c r="Q152" s="1062"/>
      <c r="R152" s="1550"/>
      <c r="S152" s="1062"/>
      <c r="T152" s="1062"/>
      <c r="U152" s="468"/>
      <c r="V152" s="1062"/>
      <c r="W152" s="1062"/>
      <c r="X152" s="1062"/>
      <c r="Y152" s="1062"/>
      <c r="Z152" s="1062"/>
      <c r="AA152" s="1546"/>
      <c r="AB152" s="490"/>
      <c r="AC152" s="490"/>
      <c r="AD152" s="490"/>
      <c r="AE152" s="490"/>
    </row>
    <row r="153" spans="1:31" s="1907" customFormat="1" ht="11.25" customHeight="1">
      <c r="A153" s="897"/>
      <c r="B153" s="1550"/>
      <c r="C153" s="1550"/>
      <c r="D153" s="275"/>
      <c r="K153" s="1062"/>
      <c r="L153" s="1550"/>
      <c r="M153" s="1550"/>
      <c r="N153" s="1062"/>
      <c r="O153" s="1062"/>
      <c r="P153" s="1062"/>
      <c r="Q153" s="1062"/>
      <c r="R153" s="1550"/>
      <c r="S153" s="1062"/>
      <c r="T153" s="1062"/>
      <c r="U153" s="468"/>
      <c r="V153" s="1062"/>
      <c r="W153" s="1062"/>
      <c r="X153" s="1062"/>
      <c r="Y153" s="1062"/>
      <c r="Z153" s="1062"/>
      <c r="AA153" s="1546"/>
      <c r="AB153" s="490"/>
      <c r="AC153" s="490"/>
      <c r="AD153" s="490"/>
      <c r="AE153" s="490"/>
    </row>
    <row r="154" spans="1:31" s="1907" customFormat="1" ht="11.25" customHeight="1">
      <c r="A154" s="897"/>
      <c r="B154" s="1550"/>
      <c r="C154" s="1550"/>
      <c r="D154" s="275"/>
      <c r="K154" s="1062"/>
      <c r="L154" s="1550"/>
      <c r="M154" s="1550"/>
      <c r="N154" s="1062"/>
      <c r="O154" s="1062"/>
      <c r="P154" s="1062"/>
      <c r="Q154" s="1062"/>
      <c r="R154" s="1550"/>
      <c r="S154" s="1062"/>
      <c r="T154" s="1062"/>
      <c r="U154" s="468"/>
      <c r="V154" s="1062"/>
      <c r="W154" s="1062"/>
      <c r="X154" s="1062"/>
      <c r="Y154" s="1062"/>
      <c r="Z154" s="1062"/>
      <c r="AA154" s="1546"/>
      <c r="AB154" s="490"/>
      <c r="AC154" s="490"/>
      <c r="AD154" s="490"/>
      <c r="AE154" s="490"/>
    </row>
    <row r="155" spans="1:31" s="1907" customFormat="1" ht="11.25" customHeight="1">
      <c r="A155" s="897"/>
      <c r="B155" s="1550"/>
      <c r="C155" s="1550"/>
      <c r="D155" s="275"/>
      <c r="K155" s="1062"/>
      <c r="L155" s="1550"/>
      <c r="M155" s="1550"/>
      <c r="N155" s="1062"/>
      <c r="O155" s="1062"/>
      <c r="P155" s="1062"/>
      <c r="Q155" s="1062"/>
      <c r="R155" s="1550"/>
      <c r="S155" s="1062"/>
      <c r="T155" s="1062"/>
      <c r="U155" s="468"/>
      <c r="V155" s="1062"/>
      <c r="W155" s="1062"/>
      <c r="X155" s="1062"/>
      <c r="Y155" s="1062"/>
      <c r="Z155" s="1062"/>
      <c r="AA155" s="1546"/>
      <c r="AB155" s="490"/>
      <c r="AC155" s="490"/>
      <c r="AD155" s="490"/>
      <c r="AE155" s="490"/>
    </row>
    <row r="156" spans="1:31" s="1907" customFormat="1" ht="11.25" customHeight="1">
      <c r="A156" s="897"/>
      <c r="B156" s="1550"/>
      <c r="C156" s="1550"/>
      <c r="D156" s="275"/>
      <c r="K156" s="1062"/>
      <c r="L156" s="1550"/>
      <c r="M156" s="1550"/>
      <c r="N156" s="1062"/>
      <c r="O156" s="1062"/>
      <c r="P156" s="1062"/>
      <c r="Q156" s="1062"/>
      <c r="R156" s="1550"/>
      <c r="S156" s="1062"/>
      <c r="T156" s="1062"/>
      <c r="U156" s="468"/>
      <c r="V156" s="1062"/>
      <c r="W156" s="1062"/>
      <c r="X156" s="1062"/>
      <c r="Y156" s="1062"/>
      <c r="Z156" s="1062"/>
      <c r="AA156" s="1546"/>
      <c r="AB156" s="490"/>
      <c r="AC156" s="490"/>
      <c r="AD156" s="490"/>
      <c r="AE156" s="490"/>
    </row>
    <row r="157" spans="1:31" s="1907" customFormat="1" ht="11.25" customHeight="1">
      <c r="A157" s="897"/>
      <c r="B157" s="1550"/>
      <c r="C157" s="1550"/>
      <c r="D157" s="275"/>
      <c r="K157" s="1062"/>
      <c r="L157" s="1550"/>
      <c r="M157" s="1550"/>
      <c r="N157" s="1062"/>
      <c r="O157" s="1062"/>
      <c r="P157" s="1062"/>
      <c r="Q157" s="1062"/>
      <c r="R157" s="1550"/>
      <c r="S157" s="1062"/>
      <c r="T157" s="1062"/>
      <c r="U157" s="468"/>
      <c r="V157" s="1062"/>
      <c r="W157" s="1062"/>
      <c r="X157" s="1062"/>
      <c r="Y157" s="1062"/>
      <c r="Z157" s="1062"/>
      <c r="AA157" s="1546"/>
      <c r="AB157" s="490"/>
      <c r="AC157" s="490"/>
      <c r="AD157" s="490"/>
      <c r="AE157" s="490"/>
    </row>
    <row r="158" spans="1:31" s="1907" customFormat="1" ht="11.25" customHeight="1">
      <c r="A158" s="897"/>
      <c r="B158" s="1550"/>
      <c r="C158" s="1550"/>
      <c r="D158" s="275"/>
      <c r="K158" s="1062"/>
      <c r="L158" s="1550"/>
      <c r="M158" s="1550"/>
      <c r="N158" s="1062"/>
      <c r="O158" s="1062"/>
      <c r="P158" s="1062"/>
      <c r="Q158" s="1062"/>
      <c r="R158" s="1550"/>
      <c r="S158" s="1062"/>
      <c r="T158" s="1062"/>
      <c r="U158" s="468"/>
      <c r="V158" s="1062"/>
      <c r="W158" s="1062"/>
      <c r="X158" s="1062"/>
      <c r="Y158" s="1062"/>
      <c r="Z158" s="1062"/>
      <c r="AA158" s="1546"/>
      <c r="AB158" s="490"/>
      <c r="AC158" s="490"/>
      <c r="AD158" s="490"/>
      <c r="AE158" s="490"/>
    </row>
    <row r="159" spans="1:31" s="1907" customFormat="1" ht="11.25" customHeight="1">
      <c r="A159" s="897"/>
      <c r="B159" s="1550"/>
      <c r="C159" s="1550"/>
      <c r="D159" s="275"/>
      <c r="K159" s="1062"/>
      <c r="L159" s="1550"/>
      <c r="M159" s="1550"/>
      <c r="N159" s="1062"/>
      <c r="O159" s="1062"/>
      <c r="P159" s="1062"/>
      <c r="Q159" s="1062"/>
      <c r="R159" s="1550"/>
      <c r="S159" s="1062"/>
      <c r="T159" s="1062"/>
      <c r="U159" s="468"/>
      <c r="V159" s="1062"/>
      <c r="W159" s="1062"/>
      <c r="X159" s="1062"/>
      <c r="Y159" s="1062"/>
      <c r="Z159" s="1062"/>
      <c r="AA159" s="1546"/>
      <c r="AB159" s="490"/>
      <c r="AC159" s="490"/>
      <c r="AD159" s="490"/>
      <c r="AE159" s="490"/>
    </row>
    <row r="160" spans="1:31" s="1907" customFormat="1" ht="11.25" customHeight="1">
      <c r="A160" s="897"/>
      <c r="B160" s="1550"/>
      <c r="C160" s="1550"/>
      <c r="D160" s="275"/>
      <c r="K160" s="1062"/>
      <c r="L160" s="1550"/>
      <c r="M160" s="1550"/>
      <c r="N160" s="1062"/>
      <c r="O160" s="1062"/>
      <c r="P160" s="1062"/>
      <c r="Q160" s="1062"/>
      <c r="R160" s="1550"/>
      <c r="S160" s="1062"/>
      <c r="T160" s="1062"/>
      <c r="U160" s="468"/>
      <c r="V160" s="1062"/>
      <c r="W160" s="1062"/>
      <c r="X160" s="1062"/>
      <c r="Y160" s="1062"/>
      <c r="Z160" s="1062"/>
      <c r="AA160" s="1546"/>
      <c r="AB160" s="490"/>
      <c r="AC160" s="490"/>
      <c r="AD160" s="490"/>
      <c r="AE160" s="490"/>
    </row>
    <row r="161" spans="1:31" s="1907" customFormat="1" ht="11.25" customHeight="1">
      <c r="A161" s="897"/>
      <c r="B161" s="1550"/>
      <c r="C161" s="1550"/>
      <c r="D161" s="275"/>
      <c r="K161" s="1062"/>
      <c r="L161" s="1550"/>
      <c r="M161" s="1550"/>
      <c r="N161" s="1062"/>
      <c r="O161" s="1062"/>
      <c r="P161" s="1062"/>
      <c r="Q161" s="1062"/>
      <c r="R161" s="1550"/>
      <c r="S161" s="1062"/>
      <c r="T161" s="1062"/>
      <c r="U161" s="468"/>
      <c r="V161" s="1062"/>
      <c r="W161" s="1062"/>
      <c r="X161" s="1062"/>
      <c r="Y161" s="1062"/>
      <c r="Z161" s="1062"/>
      <c r="AA161" s="1546"/>
      <c r="AB161" s="490"/>
      <c r="AC161" s="490"/>
      <c r="AD161" s="490"/>
      <c r="AE161" s="490"/>
    </row>
    <row r="162" spans="1:31" s="1907" customFormat="1" ht="11.25" customHeight="1">
      <c r="A162" s="897"/>
      <c r="B162" s="1550"/>
      <c r="C162" s="1550"/>
      <c r="D162" s="275"/>
      <c r="K162" s="1062"/>
      <c r="L162" s="1550"/>
      <c r="M162" s="1550"/>
      <c r="N162" s="1062"/>
      <c r="O162" s="1062"/>
      <c r="P162" s="1062"/>
      <c r="Q162" s="1062"/>
      <c r="R162" s="1550"/>
      <c r="S162" s="1062"/>
      <c r="T162" s="1062"/>
      <c r="U162" s="468"/>
      <c r="V162" s="1062"/>
      <c r="W162" s="1062"/>
      <c r="X162" s="1062"/>
      <c r="Y162" s="1062"/>
      <c r="Z162" s="1062"/>
      <c r="AA162" s="1546"/>
      <c r="AB162" s="490"/>
      <c r="AC162" s="490"/>
      <c r="AD162" s="490"/>
      <c r="AE162" s="490"/>
    </row>
    <row r="163" spans="1:31" s="1907" customFormat="1" ht="11.25" customHeight="1">
      <c r="A163" s="897"/>
      <c r="B163" s="1550"/>
      <c r="C163" s="1550"/>
      <c r="D163" s="275"/>
      <c r="K163" s="1062"/>
      <c r="L163" s="1550"/>
      <c r="M163" s="1550"/>
      <c r="N163" s="1062"/>
      <c r="O163" s="1062"/>
      <c r="P163" s="1062"/>
      <c r="Q163" s="1062"/>
      <c r="R163" s="1550"/>
      <c r="S163" s="1062"/>
      <c r="T163" s="1062"/>
      <c r="U163" s="468"/>
      <c r="V163" s="1062"/>
      <c r="W163" s="1062"/>
      <c r="X163" s="1062"/>
      <c r="Y163" s="1062"/>
      <c r="Z163" s="1062"/>
      <c r="AA163" s="1546"/>
      <c r="AB163" s="490"/>
      <c r="AC163" s="490"/>
      <c r="AD163" s="490"/>
      <c r="AE163" s="490"/>
    </row>
    <row r="164" spans="1:31" s="1907" customFormat="1" ht="11.25" customHeight="1">
      <c r="A164" s="897"/>
      <c r="B164" s="1550"/>
      <c r="C164" s="1550"/>
      <c r="D164" s="275"/>
      <c r="K164" s="1062"/>
      <c r="L164" s="1550"/>
      <c r="M164" s="1550"/>
      <c r="N164" s="1062"/>
      <c r="O164" s="1062"/>
      <c r="P164" s="1062"/>
      <c r="Q164" s="1062"/>
      <c r="R164" s="1550"/>
      <c r="S164" s="1062"/>
      <c r="T164" s="1062"/>
      <c r="U164" s="468"/>
      <c r="V164" s="1062"/>
      <c r="W164" s="1062"/>
      <c r="X164" s="1062"/>
      <c r="Y164" s="1062"/>
      <c r="Z164" s="1062"/>
      <c r="AA164" s="1546"/>
      <c r="AB164" s="490"/>
      <c r="AC164" s="490"/>
      <c r="AD164" s="490"/>
      <c r="AE164" s="490"/>
    </row>
    <row r="165" spans="1:31" s="1907" customFormat="1" ht="11.25" customHeight="1">
      <c r="A165" s="897"/>
      <c r="B165" s="1550"/>
      <c r="C165" s="1550"/>
      <c r="D165" s="275"/>
      <c r="K165" s="1062"/>
      <c r="L165" s="1550"/>
      <c r="M165" s="1550"/>
      <c r="N165" s="1062"/>
      <c r="O165" s="1062"/>
      <c r="P165" s="1062"/>
      <c r="Q165" s="1062"/>
      <c r="R165" s="1550"/>
      <c r="S165" s="1062"/>
      <c r="T165" s="1062"/>
      <c r="U165" s="468"/>
      <c r="V165" s="1062"/>
      <c r="W165" s="1062"/>
      <c r="X165" s="1062"/>
      <c r="Y165" s="1062"/>
      <c r="Z165" s="1062"/>
      <c r="AA165" s="1546"/>
      <c r="AB165" s="490"/>
      <c r="AC165" s="490"/>
      <c r="AD165" s="490"/>
      <c r="AE165" s="490"/>
    </row>
    <row r="166" spans="1:31" s="1907" customFormat="1" ht="11.25" customHeight="1">
      <c r="A166" s="897"/>
      <c r="B166" s="1550"/>
      <c r="C166" s="1550"/>
      <c r="D166" s="275"/>
      <c r="K166" s="1062"/>
      <c r="L166" s="1550"/>
      <c r="M166" s="1550"/>
      <c r="N166" s="1062"/>
      <c r="O166" s="1062"/>
      <c r="P166" s="1062"/>
      <c r="Q166" s="1062"/>
      <c r="R166" s="1550"/>
      <c r="S166" s="1062"/>
      <c r="T166" s="1062"/>
      <c r="U166" s="468"/>
      <c r="V166" s="1062"/>
      <c r="W166" s="1062"/>
      <c r="X166" s="1062"/>
      <c r="Y166" s="1062"/>
      <c r="Z166" s="1062"/>
      <c r="AA166" s="1546"/>
      <c r="AB166" s="490"/>
      <c r="AC166" s="490"/>
      <c r="AD166" s="490"/>
      <c r="AE166" s="490"/>
    </row>
    <row r="167" spans="1:31" s="1907" customFormat="1" ht="11.25" customHeight="1">
      <c r="A167" s="897"/>
      <c r="B167" s="1550"/>
      <c r="C167" s="1550"/>
      <c r="D167" s="275"/>
      <c r="K167" s="1062"/>
      <c r="L167" s="1550"/>
      <c r="M167" s="1550"/>
      <c r="N167" s="1062"/>
      <c r="O167" s="1062"/>
      <c r="P167" s="1062"/>
      <c r="Q167" s="1062"/>
      <c r="R167" s="1550"/>
      <c r="S167" s="1062"/>
      <c r="T167" s="1062"/>
      <c r="U167" s="468"/>
      <c r="V167" s="1062"/>
      <c r="W167" s="1062"/>
      <c r="X167" s="1062"/>
      <c r="Y167" s="1062"/>
      <c r="Z167" s="1062"/>
      <c r="AA167" s="1546"/>
      <c r="AB167" s="490"/>
      <c r="AC167" s="490"/>
      <c r="AD167" s="490"/>
      <c r="AE167" s="490"/>
    </row>
    <row r="168" spans="1:31" s="1907" customFormat="1" ht="11.25" customHeight="1">
      <c r="A168" s="897"/>
      <c r="B168" s="1550"/>
      <c r="C168" s="1550"/>
      <c r="D168" s="275"/>
      <c r="K168" s="1062"/>
      <c r="L168" s="1550"/>
      <c r="M168" s="1550"/>
      <c r="N168" s="1062"/>
      <c r="O168" s="1062"/>
      <c r="P168" s="1062"/>
      <c r="Q168" s="1062"/>
      <c r="R168" s="1550"/>
      <c r="S168" s="1062"/>
      <c r="T168" s="1062"/>
      <c r="U168" s="468"/>
      <c r="V168" s="1062"/>
      <c r="W168" s="1062"/>
      <c r="X168" s="1062"/>
      <c r="Y168" s="1062"/>
      <c r="Z168" s="1062"/>
      <c r="AA168" s="1546"/>
      <c r="AB168" s="490"/>
      <c r="AC168" s="490"/>
      <c r="AD168" s="490"/>
      <c r="AE168" s="490"/>
    </row>
    <row r="169" spans="1:31" s="1907" customFormat="1" ht="11.25" customHeight="1">
      <c r="A169" s="897"/>
      <c r="B169" s="1550"/>
      <c r="C169" s="1550"/>
      <c r="D169" s="275"/>
      <c r="K169" s="1062"/>
      <c r="L169" s="1550"/>
      <c r="M169" s="1550"/>
      <c r="N169" s="1062"/>
      <c r="O169" s="1062"/>
      <c r="P169" s="1062"/>
      <c r="Q169" s="1062"/>
      <c r="R169" s="1550"/>
      <c r="S169" s="1062"/>
      <c r="T169" s="1062"/>
      <c r="U169" s="468"/>
      <c r="V169" s="1062"/>
      <c r="W169" s="1062"/>
      <c r="X169" s="1062"/>
      <c r="Y169" s="1062"/>
      <c r="Z169" s="1062"/>
      <c r="AA169" s="1546"/>
      <c r="AB169" s="490"/>
      <c r="AC169" s="490"/>
      <c r="AD169" s="490"/>
      <c r="AE169" s="490"/>
    </row>
    <row r="170" spans="1:31" s="1907" customFormat="1" ht="11.25" customHeight="1">
      <c r="A170" s="897"/>
      <c r="B170" s="1550"/>
      <c r="C170" s="1550"/>
      <c r="D170" s="275"/>
      <c r="K170" s="1062"/>
      <c r="L170" s="1550"/>
      <c r="M170" s="1550"/>
      <c r="N170" s="1062"/>
      <c r="O170" s="1062"/>
      <c r="P170" s="1062"/>
      <c r="Q170" s="1062"/>
      <c r="R170" s="1550"/>
      <c r="S170" s="1062"/>
      <c r="T170" s="1062"/>
      <c r="U170" s="468"/>
      <c r="V170" s="1062"/>
      <c r="W170" s="1062"/>
      <c r="X170" s="1062"/>
      <c r="Y170" s="1062"/>
      <c r="Z170" s="1062"/>
      <c r="AA170" s="1546"/>
      <c r="AB170" s="490"/>
      <c r="AC170" s="490"/>
      <c r="AD170" s="490"/>
      <c r="AE170" s="490"/>
    </row>
    <row r="171" spans="1:31" s="1907" customFormat="1" ht="11.25" customHeight="1">
      <c r="A171" s="897"/>
      <c r="B171" s="1550"/>
      <c r="C171" s="1550"/>
      <c r="D171" s="275"/>
      <c r="K171" s="1062"/>
      <c r="L171" s="1550"/>
      <c r="M171" s="1550"/>
      <c r="N171" s="1062"/>
      <c r="O171" s="1062"/>
      <c r="P171" s="1062"/>
      <c r="Q171" s="1062"/>
      <c r="R171" s="1550"/>
      <c r="S171" s="1062"/>
      <c r="T171" s="1062"/>
      <c r="U171" s="468"/>
      <c r="V171" s="1062"/>
      <c r="W171" s="1062"/>
      <c r="X171" s="1062"/>
      <c r="Y171" s="1062"/>
      <c r="Z171" s="1062"/>
      <c r="AA171" s="1546"/>
      <c r="AB171" s="490"/>
      <c r="AC171" s="490"/>
      <c r="AD171" s="490"/>
      <c r="AE171" s="490"/>
    </row>
    <row r="172" spans="1:31" s="1907" customFormat="1" ht="11.25" customHeight="1">
      <c r="A172" s="897"/>
      <c r="B172" s="1550"/>
      <c r="C172" s="1550"/>
      <c r="D172" s="275"/>
      <c r="K172" s="1062"/>
      <c r="L172" s="1550"/>
      <c r="M172" s="1550"/>
      <c r="N172" s="1062"/>
      <c r="O172" s="1062"/>
      <c r="P172" s="1062"/>
      <c r="Q172" s="1062"/>
      <c r="R172" s="1550"/>
      <c r="S172" s="1062"/>
      <c r="T172" s="1062"/>
      <c r="U172" s="468"/>
      <c r="V172" s="1062"/>
      <c r="W172" s="1062"/>
      <c r="X172" s="1062"/>
      <c r="Y172" s="1062"/>
      <c r="Z172" s="1062"/>
      <c r="AA172" s="1546"/>
      <c r="AB172" s="490"/>
      <c r="AC172" s="490"/>
      <c r="AD172" s="490"/>
      <c r="AE172" s="490"/>
    </row>
    <row r="173" spans="1:31" s="1907" customFormat="1" ht="11.25" customHeight="1">
      <c r="A173" s="897"/>
      <c r="B173" s="1550"/>
      <c r="C173" s="1550"/>
      <c r="D173" s="275"/>
      <c r="K173" s="1062"/>
      <c r="L173" s="1550"/>
      <c r="M173" s="1550"/>
      <c r="N173" s="1062"/>
      <c r="O173" s="1062"/>
      <c r="P173" s="1062"/>
      <c r="Q173" s="1062"/>
      <c r="R173" s="1550"/>
      <c r="S173" s="1062"/>
      <c r="T173" s="1062"/>
      <c r="U173" s="468"/>
      <c r="V173" s="1062"/>
      <c r="W173" s="1062"/>
      <c r="X173" s="1062"/>
      <c r="Y173" s="1062"/>
      <c r="Z173" s="1062"/>
      <c r="AA173" s="1546"/>
      <c r="AB173" s="490"/>
      <c r="AC173" s="490"/>
      <c r="AD173" s="490"/>
      <c r="AE173" s="490"/>
    </row>
    <row r="174" spans="1:31" s="1907" customFormat="1" ht="11.25" customHeight="1">
      <c r="A174" s="897"/>
      <c r="B174" s="1550"/>
      <c r="C174" s="1550"/>
      <c r="D174" s="275"/>
      <c r="K174" s="1062"/>
      <c r="L174" s="1550"/>
      <c r="M174" s="1550"/>
      <c r="N174" s="1062"/>
      <c r="O174" s="1062"/>
      <c r="P174" s="1062"/>
      <c r="Q174" s="1062"/>
      <c r="R174" s="1550"/>
      <c r="S174" s="1062"/>
      <c r="T174" s="1062"/>
      <c r="U174" s="468"/>
      <c r="V174" s="1062"/>
      <c r="W174" s="1062"/>
      <c r="X174" s="1062"/>
      <c r="Y174" s="1062"/>
      <c r="Z174" s="1062"/>
      <c r="AA174" s="1546"/>
      <c r="AB174" s="490"/>
      <c r="AC174" s="490"/>
      <c r="AD174" s="490"/>
      <c r="AE174" s="490"/>
    </row>
    <row r="175" spans="1:31" s="1907" customFormat="1" ht="11.25" customHeight="1">
      <c r="A175" s="897"/>
      <c r="B175" s="1550"/>
      <c r="C175" s="1550"/>
      <c r="D175" s="275"/>
      <c r="K175" s="1062"/>
      <c r="L175" s="1550"/>
      <c r="M175" s="1550"/>
      <c r="N175" s="1062"/>
      <c r="O175" s="1062"/>
      <c r="P175" s="1062"/>
      <c r="Q175" s="1062"/>
      <c r="R175" s="1550"/>
      <c r="S175" s="1062"/>
      <c r="T175" s="1062"/>
      <c r="U175" s="468"/>
      <c r="V175" s="1062"/>
      <c r="W175" s="1062"/>
      <c r="X175" s="1062"/>
      <c r="Y175" s="1062"/>
      <c r="Z175" s="1062"/>
      <c r="AA175" s="1546"/>
      <c r="AB175" s="490"/>
      <c r="AC175" s="490"/>
      <c r="AD175" s="490"/>
      <c r="AE175" s="490"/>
    </row>
    <row r="176" spans="1:31" s="1907" customFormat="1" ht="11.25" customHeight="1">
      <c r="A176" s="897"/>
      <c r="B176" s="1550"/>
      <c r="C176" s="1550"/>
      <c r="D176" s="275"/>
      <c r="K176" s="1062"/>
      <c r="L176" s="1550"/>
      <c r="M176" s="1550"/>
      <c r="N176" s="1062"/>
      <c r="O176" s="1062"/>
      <c r="P176" s="1062"/>
      <c r="Q176" s="1062"/>
      <c r="R176" s="1550"/>
      <c r="S176" s="1062"/>
      <c r="T176" s="1062"/>
      <c r="U176" s="468"/>
      <c r="V176" s="1062"/>
      <c r="W176" s="1062"/>
      <c r="X176" s="1062"/>
      <c r="Y176" s="1062"/>
      <c r="Z176" s="1062"/>
      <c r="AA176" s="1546"/>
      <c r="AB176" s="490"/>
      <c r="AC176" s="490"/>
      <c r="AD176" s="490"/>
      <c r="AE176" s="490"/>
    </row>
    <row r="177" spans="1:31" s="1907" customFormat="1" ht="11.25" customHeight="1">
      <c r="A177" s="897"/>
      <c r="B177" s="1550"/>
      <c r="C177" s="1550"/>
      <c r="D177" s="275"/>
      <c r="K177" s="1062"/>
      <c r="L177" s="1550"/>
      <c r="M177" s="1550"/>
      <c r="N177" s="1062"/>
      <c r="O177" s="1062"/>
      <c r="P177" s="1062"/>
      <c r="Q177" s="1062"/>
      <c r="R177" s="1550"/>
      <c r="S177" s="1062"/>
      <c r="T177" s="1062"/>
      <c r="U177" s="468"/>
      <c r="V177" s="1062"/>
      <c r="W177" s="1062"/>
      <c r="X177" s="1062"/>
      <c r="Y177" s="1062"/>
      <c r="Z177" s="1062"/>
      <c r="AA177" s="1546"/>
      <c r="AB177" s="490"/>
      <c r="AC177" s="490"/>
      <c r="AD177" s="490"/>
      <c r="AE177" s="490"/>
    </row>
    <row r="178" spans="1:31" s="1907" customFormat="1" ht="11.25" customHeight="1">
      <c r="A178" s="897"/>
      <c r="B178" s="1550"/>
      <c r="C178" s="1550"/>
      <c r="D178" s="275"/>
      <c r="K178" s="1062"/>
      <c r="L178" s="1550"/>
      <c r="M178" s="1550"/>
      <c r="N178" s="1062"/>
      <c r="O178" s="1062"/>
      <c r="P178" s="1062"/>
      <c r="Q178" s="1062"/>
      <c r="R178" s="1550"/>
      <c r="S178" s="1062"/>
      <c r="T178" s="1062"/>
      <c r="U178" s="468"/>
      <c r="V178" s="1062"/>
      <c r="W178" s="1062"/>
      <c r="X178" s="1062"/>
      <c r="Y178" s="1062"/>
      <c r="Z178" s="1062"/>
      <c r="AA178" s="1546"/>
      <c r="AB178" s="490"/>
      <c r="AC178" s="490"/>
      <c r="AD178" s="490"/>
      <c r="AE178" s="490"/>
    </row>
    <row r="179" spans="1:31" s="1907" customFormat="1" ht="11.25" customHeight="1">
      <c r="A179" s="897"/>
      <c r="B179" s="1550"/>
      <c r="C179" s="1550"/>
      <c r="D179" s="275"/>
      <c r="K179" s="1062"/>
      <c r="L179" s="1550"/>
      <c r="M179" s="1550"/>
      <c r="N179" s="1062"/>
      <c r="O179" s="1062"/>
      <c r="P179" s="1062"/>
      <c r="Q179" s="1062"/>
      <c r="R179" s="1550"/>
      <c r="S179" s="1062"/>
      <c r="T179" s="1062"/>
      <c r="U179" s="468"/>
      <c r="V179" s="1062"/>
      <c r="W179" s="1062"/>
      <c r="X179" s="1062"/>
      <c r="Y179" s="1062"/>
      <c r="Z179" s="1062"/>
      <c r="AA179" s="1546"/>
      <c r="AB179" s="490"/>
      <c r="AC179" s="490"/>
      <c r="AD179" s="490"/>
      <c r="AE179" s="490"/>
    </row>
    <row r="180" spans="1:31" s="1907" customFormat="1" ht="11.25" customHeight="1">
      <c r="A180" s="897"/>
      <c r="B180" s="1550"/>
      <c r="C180" s="1550"/>
      <c r="D180" s="275"/>
      <c r="K180" s="1062"/>
      <c r="L180" s="1550"/>
      <c r="M180" s="1550"/>
      <c r="N180" s="1062"/>
      <c r="O180" s="1062"/>
      <c r="P180" s="1062"/>
      <c r="Q180" s="1062"/>
      <c r="R180" s="1550"/>
      <c r="S180" s="1062"/>
      <c r="T180" s="1062"/>
      <c r="U180" s="468"/>
      <c r="V180" s="1062"/>
      <c r="W180" s="1062"/>
      <c r="X180" s="1062"/>
      <c r="Y180" s="1062"/>
      <c r="Z180" s="1062"/>
      <c r="AA180" s="1546"/>
      <c r="AB180" s="490"/>
      <c r="AC180" s="490"/>
      <c r="AD180" s="490"/>
      <c r="AE180" s="490"/>
    </row>
    <row r="181" spans="1:31" s="1907" customFormat="1" ht="11.25" customHeight="1">
      <c r="A181" s="897"/>
      <c r="B181" s="1550"/>
      <c r="C181" s="1550"/>
      <c r="D181" s="275"/>
      <c r="K181" s="1062"/>
      <c r="L181" s="1550"/>
      <c r="M181" s="1550"/>
      <c r="N181" s="1062"/>
      <c r="O181" s="1062"/>
      <c r="P181" s="1062"/>
      <c r="Q181" s="1062"/>
      <c r="R181" s="1550"/>
      <c r="S181" s="1062"/>
      <c r="T181" s="1062"/>
      <c r="U181" s="468"/>
      <c r="V181" s="1062"/>
      <c r="W181" s="1062"/>
      <c r="X181" s="1062"/>
      <c r="Y181" s="1062"/>
      <c r="Z181" s="1062"/>
      <c r="AA181" s="1546"/>
      <c r="AB181" s="490"/>
      <c r="AC181" s="490"/>
      <c r="AD181" s="490"/>
      <c r="AE181" s="490"/>
    </row>
    <row r="182" spans="1:31" s="1907" customFormat="1" ht="11.25" customHeight="1">
      <c r="A182" s="897"/>
      <c r="B182" s="1550"/>
      <c r="C182" s="1550"/>
      <c r="D182" s="275"/>
      <c r="K182" s="1062"/>
      <c r="L182" s="1550"/>
      <c r="M182" s="1550"/>
      <c r="N182" s="1062"/>
      <c r="O182" s="1062"/>
      <c r="P182" s="1062"/>
      <c r="Q182" s="1062"/>
      <c r="R182" s="1550"/>
      <c r="S182" s="1062"/>
      <c r="T182" s="1062"/>
      <c r="U182" s="468"/>
      <c r="V182" s="1062"/>
      <c r="W182" s="1062"/>
      <c r="X182" s="1062"/>
      <c r="Y182" s="1062"/>
      <c r="Z182" s="1062"/>
      <c r="AA182" s="1546"/>
      <c r="AB182" s="490"/>
      <c r="AC182" s="490"/>
      <c r="AD182" s="490"/>
      <c r="AE182" s="490"/>
    </row>
    <row r="183" spans="1:31" s="1907" customFormat="1" ht="11.25" customHeight="1">
      <c r="A183" s="897"/>
      <c r="B183" s="1550"/>
      <c r="C183" s="1550"/>
      <c r="D183" s="275"/>
      <c r="K183" s="1062"/>
      <c r="L183" s="1550"/>
      <c r="M183" s="1550"/>
      <c r="N183" s="1062"/>
      <c r="O183" s="1062"/>
      <c r="P183" s="1062"/>
      <c r="Q183" s="1062"/>
      <c r="R183" s="1550"/>
      <c r="S183" s="1062"/>
      <c r="T183" s="1062"/>
      <c r="U183" s="468"/>
      <c r="V183" s="1062"/>
      <c r="W183" s="1062"/>
      <c r="X183" s="1062"/>
      <c r="Y183" s="1062"/>
      <c r="Z183" s="1062"/>
      <c r="AA183" s="1546"/>
      <c r="AB183" s="490"/>
      <c r="AC183" s="490"/>
      <c r="AD183" s="490"/>
      <c r="AE183" s="490"/>
    </row>
    <row r="184" spans="1:31" s="1907" customFormat="1" ht="11.25" customHeight="1">
      <c r="A184" s="897"/>
      <c r="B184" s="1550"/>
      <c r="C184" s="1550"/>
      <c r="D184" s="275"/>
      <c r="K184" s="1062"/>
      <c r="L184" s="1550"/>
      <c r="M184" s="1550"/>
      <c r="N184" s="1062"/>
      <c r="O184" s="1062"/>
      <c r="P184" s="1062"/>
      <c r="Q184" s="1062"/>
      <c r="R184" s="1550"/>
      <c r="S184" s="1062"/>
      <c r="T184" s="1062"/>
      <c r="U184" s="468"/>
      <c r="V184" s="1062"/>
      <c r="W184" s="1062"/>
      <c r="X184" s="1062"/>
      <c r="Y184" s="1062"/>
      <c r="Z184" s="1062"/>
      <c r="AA184" s="1546"/>
      <c r="AB184" s="490"/>
      <c r="AC184" s="490"/>
      <c r="AD184" s="490"/>
      <c r="AE184" s="490"/>
    </row>
    <row r="185" spans="1:31" s="1907" customFormat="1" ht="11.25" customHeight="1">
      <c r="A185" s="897"/>
      <c r="B185" s="1550"/>
      <c r="C185" s="1550"/>
      <c r="D185" s="275"/>
      <c r="K185" s="1062"/>
      <c r="L185" s="1550"/>
      <c r="M185" s="1550"/>
      <c r="N185" s="1062"/>
      <c r="O185" s="1062"/>
      <c r="P185" s="1062"/>
      <c r="Q185" s="1062"/>
      <c r="R185" s="1550"/>
      <c r="S185" s="1062"/>
      <c r="T185" s="1062"/>
      <c r="U185" s="468"/>
      <c r="V185" s="1062"/>
      <c r="W185" s="1062"/>
      <c r="X185" s="1062"/>
      <c r="Y185" s="1062"/>
      <c r="Z185" s="1062"/>
      <c r="AA185" s="1546"/>
      <c r="AB185" s="490"/>
      <c r="AC185" s="490"/>
      <c r="AD185" s="490"/>
      <c r="AE185" s="490"/>
    </row>
    <row r="186" spans="1:31" s="1907" customFormat="1" ht="11.25" customHeight="1">
      <c r="A186" s="897"/>
      <c r="B186" s="1550"/>
      <c r="C186" s="1550"/>
      <c r="D186" s="275"/>
      <c r="K186" s="1062"/>
      <c r="L186" s="1550"/>
      <c r="M186" s="1550"/>
      <c r="N186" s="1062"/>
      <c r="O186" s="1062"/>
      <c r="P186" s="1062"/>
      <c r="Q186" s="1062"/>
      <c r="R186" s="1550"/>
      <c r="S186" s="1062"/>
      <c r="T186" s="1062"/>
      <c r="U186" s="468"/>
      <c r="V186" s="1062"/>
      <c r="W186" s="1062"/>
      <c r="X186" s="1062"/>
      <c r="Y186" s="1062"/>
      <c r="Z186" s="1062"/>
      <c r="AA186" s="1546"/>
      <c r="AB186" s="490"/>
      <c r="AC186" s="490"/>
      <c r="AD186" s="490"/>
      <c r="AE186" s="490"/>
    </row>
    <row r="187" spans="1:31" s="1907" customFormat="1" ht="11.25" customHeight="1">
      <c r="A187" s="897"/>
      <c r="B187" s="1550"/>
      <c r="C187" s="1550"/>
      <c r="D187" s="275"/>
      <c r="K187" s="1062"/>
      <c r="L187" s="1550"/>
      <c r="M187" s="1550"/>
      <c r="N187" s="1062"/>
      <c r="O187" s="1062"/>
      <c r="P187" s="1062"/>
      <c r="Q187" s="1062"/>
      <c r="R187" s="1550"/>
      <c r="S187" s="1062"/>
      <c r="T187" s="1062"/>
      <c r="U187" s="468"/>
      <c r="V187" s="1062"/>
      <c r="W187" s="1062"/>
      <c r="X187" s="1062"/>
      <c r="Y187" s="1062"/>
      <c r="Z187" s="1062"/>
      <c r="AA187" s="1546"/>
      <c r="AB187" s="490"/>
      <c r="AC187" s="490"/>
      <c r="AD187" s="490"/>
      <c r="AE187" s="490"/>
    </row>
    <row r="188" spans="1:31" s="1907" customFormat="1" ht="11.25" customHeight="1">
      <c r="A188" s="897"/>
      <c r="B188" s="1550"/>
      <c r="C188" s="1550"/>
      <c r="D188" s="275"/>
      <c r="K188" s="1062"/>
      <c r="L188" s="1550"/>
      <c r="M188" s="1550"/>
      <c r="N188" s="1062"/>
      <c r="O188" s="1062"/>
      <c r="P188" s="1062"/>
      <c r="Q188" s="1062"/>
      <c r="R188" s="1550"/>
      <c r="S188" s="1062"/>
      <c r="T188" s="1062"/>
      <c r="U188" s="468"/>
      <c r="V188" s="1062"/>
      <c r="W188" s="1062"/>
      <c r="X188" s="1062"/>
      <c r="Y188" s="1062"/>
      <c r="Z188" s="1062"/>
      <c r="AA188" s="1546"/>
      <c r="AB188" s="490"/>
      <c r="AC188" s="490"/>
      <c r="AD188" s="490"/>
      <c r="AE188" s="490"/>
    </row>
    <row r="189" spans="1:31" s="1907" customFormat="1" ht="11.25" customHeight="1">
      <c r="A189" s="897"/>
      <c r="B189" s="1550"/>
      <c r="C189" s="1550"/>
      <c r="D189" s="275"/>
      <c r="K189" s="1062"/>
      <c r="L189" s="1550"/>
      <c r="M189" s="1550"/>
      <c r="N189" s="1062"/>
      <c r="O189" s="1062"/>
      <c r="P189" s="1062"/>
      <c r="Q189" s="1062"/>
      <c r="R189" s="1550"/>
      <c r="S189" s="1062"/>
      <c r="T189" s="1062"/>
      <c r="U189" s="468"/>
      <c r="V189" s="1062"/>
      <c r="W189" s="1062"/>
      <c r="X189" s="1062"/>
      <c r="Y189" s="1062"/>
      <c r="Z189" s="1062"/>
      <c r="AA189" s="1546"/>
      <c r="AB189" s="490"/>
      <c r="AC189" s="490"/>
      <c r="AD189" s="490"/>
      <c r="AE189" s="490"/>
    </row>
    <row r="190" spans="1:31" s="1907" customFormat="1" ht="11.25" customHeight="1">
      <c r="A190" s="897"/>
      <c r="B190" s="1550"/>
      <c r="C190" s="1550"/>
      <c r="D190" s="275"/>
      <c r="K190" s="1062"/>
      <c r="L190" s="1550"/>
      <c r="M190" s="1550"/>
      <c r="N190" s="1062"/>
      <c r="O190" s="1062"/>
      <c r="P190" s="1062"/>
      <c r="Q190" s="1062"/>
      <c r="R190" s="1550"/>
      <c r="S190" s="1062"/>
      <c r="T190" s="1062"/>
      <c r="U190" s="468"/>
      <c r="V190" s="1062"/>
      <c r="W190" s="1062"/>
      <c r="X190" s="1062"/>
      <c r="Y190" s="1062"/>
      <c r="Z190" s="1062"/>
      <c r="AA190" s="1546"/>
      <c r="AB190" s="490"/>
      <c r="AC190" s="490"/>
      <c r="AD190" s="490"/>
      <c r="AE190" s="490"/>
    </row>
    <row r="191" spans="1:31" s="1907" customFormat="1" ht="11.25" customHeight="1">
      <c r="A191" s="897"/>
      <c r="B191" s="1550"/>
      <c r="C191" s="1550"/>
      <c r="D191" s="275"/>
      <c r="K191" s="1062"/>
      <c r="L191" s="1550"/>
      <c r="M191" s="1550"/>
      <c r="N191" s="1062"/>
      <c r="O191" s="1062"/>
      <c r="P191" s="1062"/>
      <c r="Q191" s="1062"/>
      <c r="R191" s="1550"/>
      <c r="S191" s="1062"/>
      <c r="T191" s="1062"/>
      <c r="U191" s="468"/>
      <c r="V191" s="1062"/>
      <c r="W191" s="1062"/>
      <c r="X191" s="1062"/>
      <c r="Y191" s="1062"/>
      <c r="Z191" s="1062"/>
      <c r="AA191" s="1546"/>
      <c r="AB191" s="490"/>
      <c r="AC191" s="490"/>
      <c r="AD191" s="490"/>
      <c r="AE191" s="490"/>
    </row>
    <row r="192" spans="1:31" s="1907" customFormat="1" ht="11.25" customHeight="1">
      <c r="A192" s="897"/>
      <c r="B192" s="1550"/>
      <c r="C192" s="1550"/>
      <c r="D192" s="275"/>
      <c r="K192" s="1062"/>
      <c r="L192" s="1550"/>
      <c r="M192" s="1550"/>
      <c r="N192" s="1062"/>
      <c r="O192" s="1062"/>
      <c r="P192" s="1062"/>
      <c r="Q192" s="1062"/>
      <c r="R192" s="1550"/>
      <c r="S192" s="1062"/>
      <c r="T192" s="1062"/>
      <c r="U192" s="468"/>
      <c r="V192" s="1062"/>
      <c r="W192" s="1062"/>
      <c r="X192" s="1062"/>
      <c r="Y192" s="1062"/>
      <c r="Z192" s="1062"/>
      <c r="AA192" s="1546"/>
      <c r="AB192" s="490"/>
      <c r="AC192" s="490"/>
      <c r="AD192" s="490"/>
      <c r="AE192" s="490"/>
    </row>
    <row r="193" spans="1:31" s="1907" customFormat="1" ht="11.25" customHeight="1">
      <c r="A193" s="897"/>
      <c r="B193" s="1550"/>
      <c r="C193" s="1550"/>
      <c r="D193" s="275"/>
      <c r="K193" s="1062"/>
      <c r="L193" s="1550"/>
      <c r="M193" s="1550"/>
      <c r="N193" s="1062"/>
      <c r="O193" s="1062"/>
      <c r="P193" s="1062"/>
      <c r="Q193" s="1062"/>
      <c r="R193" s="1550"/>
      <c r="S193" s="1062"/>
      <c r="T193" s="1062"/>
      <c r="U193" s="468"/>
      <c r="V193" s="1062"/>
      <c r="W193" s="1062"/>
      <c r="X193" s="1062"/>
      <c r="Y193" s="1062"/>
      <c r="Z193" s="1062"/>
      <c r="AA193" s="1546"/>
      <c r="AB193" s="490"/>
      <c r="AC193" s="490"/>
      <c r="AD193" s="490"/>
      <c r="AE193" s="490"/>
    </row>
    <row r="194" spans="1:31" s="1907" customFormat="1" ht="11.25" customHeight="1">
      <c r="A194" s="897"/>
      <c r="B194" s="1550"/>
      <c r="C194" s="1550"/>
      <c r="D194" s="275"/>
      <c r="K194" s="1062"/>
      <c r="L194" s="1550"/>
      <c r="M194" s="1550"/>
      <c r="N194" s="1062"/>
      <c r="O194" s="1062"/>
      <c r="P194" s="1062"/>
      <c r="Q194" s="1062"/>
      <c r="R194" s="1550"/>
      <c r="S194" s="1062"/>
      <c r="T194" s="1062"/>
      <c r="U194" s="468"/>
      <c r="V194" s="1062"/>
      <c r="W194" s="1062"/>
      <c r="X194" s="1062"/>
      <c r="Y194" s="1062"/>
      <c r="Z194" s="1062"/>
      <c r="AA194" s="1546"/>
      <c r="AB194" s="490"/>
      <c r="AC194" s="490"/>
      <c r="AD194" s="490"/>
      <c r="AE194" s="490"/>
    </row>
    <row r="195" spans="1:31" s="1907" customFormat="1" ht="11.25" customHeight="1">
      <c r="A195" s="897"/>
      <c r="B195" s="1550"/>
      <c r="C195" s="1550"/>
      <c r="D195" s="275"/>
      <c r="K195" s="1062"/>
      <c r="L195" s="1550"/>
      <c r="M195" s="1550"/>
      <c r="N195" s="1062"/>
      <c r="O195" s="1062"/>
      <c r="P195" s="1062"/>
      <c r="Q195" s="1062"/>
      <c r="R195" s="1550"/>
      <c r="S195" s="1062"/>
      <c r="T195" s="1062"/>
      <c r="U195" s="468"/>
      <c r="V195" s="1062"/>
      <c r="W195" s="1062"/>
      <c r="X195" s="1062"/>
      <c r="Y195" s="1062"/>
      <c r="Z195" s="1062"/>
      <c r="AA195" s="1546"/>
      <c r="AB195" s="490"/>
      <c r="AC195" s="490"/>
      <c r="AD195" s="490"/>
      <c r="AE195" s="490"/>
    </row>
    <row r="199" spans="1:31" ht="11.25" customHeight="1">
      <c r="A199" s="900"/>
      <c r="B199" s="1545"/>
      <c r="D199" s="1545"/>
      <c r="K199" s="1545"/>
      <c r="N199" s="1545"/>
      <c r="O199" s="1545"/>
      <c r="P199" s="1545"/>
      <c r="Q199" s="1545"/>
      <c r="S199" s="1545"/>
      <c r="T199" s="1545"/>
      <c r="U199" s="1545"/>
      <c r="V199" s="1545"/>
      <c r="W199" s="1545"/>
      <c r="X199" s="1545"/>
      <c r="Y199" s="1545"/>
      <c r="Z199" s="1545"/>
      <c r="AA199" s="1545"/>
      <c r="AB199" s="1545"/>
      <c r="AC199" s="1545"/>
      <c r="AD199" s="1545"/>
      <c r="AE199" s="1545"/>
    </row>
    <row r="200" spans="1:31" ht="11.25" customHeight="1">
      <c r="A200" s="900"/>
      <c r="B200" s="1545"/>
      <c r="D200" s="1545"/>
      <c r="K200" s="1545"/>
      <c r="N200" s="1545"/>
      <c r="O200" s="1545"/>
      <c r="P200" s="1545"/>
      <c r="Q200" s="1545"/>
      <c r="S200" s="1545"/>
      <c r="T200" s="1545"/>
      <c r="U200" s="1545"/>
      <c r="V200" s="1545"/>
      <c r="W200" s="1545"/>
      <c r="X200" s="1545"/>
      <c r="Y200" s="1545"/>
      <c r="Z200" s="1545"/>
      <c r="AA200" s="1545"/>
      <c r="AB200" s="1545"/>
      <c r="AC200" s="1545"/>
      <c r="AD200" s="1545"/>
      <c r="AE200" s="1545"/>
    </row>
    <row r="201" spans="1:31" ht="11.25" customHeight="1">
      <c r="A201" s="900"/>
      <c r="B201" s="1545"/>
      <c r="D201" s="1545"/>
      <c r="K201" s="1545"/>
      <c r="N201" s="1545"/>
      <c r="O201" s="1545"/>
      <c r="P201" s="1545"/>
      <c r="Q201" s="1545"/>
      <c r="S201" s="1545"/>
      <c r="T201" s="1545"/>
      <c r="U201" s="1545"/>
      <c r="V201" s="1545"/>
      <c r="W201" s="1545"/>
      <c r="X201" s="1545"/>
      <c r="Y201" s="1545"/>
      <c r="Z201" s="1545"/>
      <c r="AA201" s="1545"/>
      <c r="AB201" s="1545"/>
      <c r="AC201" s="1545"/>
      <c r="AD201" s="1545"/>
      <c r="AE201" s="1545"/>
    </row>
    <row r="202" spans="1:31" ht="11.25" customHeight="1">
      <c r="A202" s="900"/>
      <c r="B202" s="1545"/>
      <c r="D202" s="1545"/>
      <c r="K202" s="1545"/>
      <c r="N202" s="1545"/>
      <c r="O202" s="1545"/>
      <c r="P202" s="1545"/>
      <c r="Q202" s="1545"/>
      <c r="S202" s="1545"/>
      <c r="T202" s="1545"/>
      <c r="U202" s="1545"/>
      <c r="V202" s="1545"/>
      <c r="W202" s="1545"/>
      <c r="X202" s="1545"/>
      <c r="Y202" s="1545"/>
      <c r="Z202" s="1545"/>
      <c r="AA202" s="1545"/>
      <c r="AB202" s="1545"/>
      <c r="AC202" s="1545"/>
      <c r="AD202" s="1545"/>
      <c r="AE202" s="1545"/>
    </row>
    <row r="203" spans="1:31" ht="11.25" customHeight="1">
      <c r="A203" s="900"/>
      <c r="B203" s="1545"/>
      <c r="D203" s="1545"/>
      <c r="K203" s="1545"/>
      <c r="N203" s="1545"/>
      <c r="O203" s="1545"/>
      <c r="P203" s="1545"/>
      <c r="Q203" s="1545"/>
      <c r="S203" s="1545"/>
      <c r="T203" s="1545"/>
      <c r="U203" s="1545"/>
      <c r="V203" s="1545"/>
      <c r="W203" s="1545"/>
      <c r="X203" s="1545"/>
      <c r="Y203" s="1545"/>
      <c r="Z203" s="1545"/>
      <c r="AA203" s="1545"/>
      <c r="AB203" s="1545"/>
      <c r="AC203" s="1545"/>
      <c r="AD203" s="1545"/>
      <c r="AE203" s="1545"/>
    </row>
    <row r="204" spans="1:31" ht="11.25" customHeight="1">
      <c r="A204" s="900"/>
      <c r="B204" s="1545"/>
      <c r="D204" s="1545"/>
      <c r="K204" s="1545"/>
      <c r="N204" s="1545"/>
      <c r="O204" s="1545"/>
      <c r="P204" s="1545"/>
      <c r="Q204" s="1545"/>
      <c r="S204" s="1545"/>
      <c r="T204" s="1545"/>
      <c r="U204" s="1545"/>
      <c r="V204" s="1545"/>
      <c r="W204" s="1545"/>
      <c r="X204" s="1545"/>
      <c r="Y204" s="1545"/>
      <c r="Z204" s="1545"/>
      <c r="AA204" s="1545"/>
      <c r="AB204" s="1545"/>
      <c r="AC204" s="1545"/>
      <c r="AD204" s="1545"/>
      <c r="AE204" s="1545"/>
    </row>
    <row r="205" spans="1:31" ht="11.25" customHeight="1">
      <c r="A205" s="900"/>
      <c r="B205" s="1545"/>
      <c r="D205" s="1545"/>
      <c r="K205" s="1545"/>
      <c r="N205" s="1545"/>
      <c r="O205" s="1545"/>
      <c r="P205" s="1545"/>
      <c r="Q205" s="1545"/>
      <c r="S205" s="1545"/>
      <c r="T205" s="1545"/>
      <c r="U205" s="1545"/>
      <c r="V205" s="1545"/>
      <c r="W205" s="1545"/>
      <c r="X205" s="1545"/>
      <c r="Y205" s="1545"/>
      <c r="Z205" s="1545"/>
      <c r="AA205" s="1545"/>
      <c r="AB205" s="1545"/>
      <c r="AC205" s="1545"/>
      <c r="AD205" s="1545"/>
      <c r="AE205" s="1545"/>
    </row>
    <row r="206" spans="1:31" ht="11.25" customHeight="1">
      <c r="A206" s="900"/>
      <c r="B206" s="1545"/>
      <c r="D206" s="1545"/>
      <c r="K206" s="1545"/>
      <c r="N206" s="1545"/>
      <c r="O206" s="1545"/>
      <c r="P206" s="1545"/>
      <c r="Q206" s="1545"/>
      <c r="S206" s="1545"/>
      <c r="T206" s="1545"/>
      <c r="U206" s="1545"/>
      <c r="V206" s="1545"/>
      <c r="W206" s="1545"/>
      <c r="X206" s="1545"/>
      <c r="Y206" s="1545"/>
      <c r="Z206" s="1545"/>
      <c r="AA206" s="1545"/>
      <c r="AB206" s="1545"/>
      <c r="AC206" s="1545"/>
      <c r="AD206" s="1545"/>
      <c r="AE206" s="1545"/>
    </row>
    <row r="207" spans="1:31" ht="11.25" customHeight="1">
      <c r="A207" s="900"/>
      <c r="B207" s="1545"/>
      <c r="D207" s="1545"/>
      <c r="K207" s="1545"/>
      <c r="N207" s="1545"/>
      <c r="O207" s="1545"/>
      <c r="P207" s="1545"/>
      <c r="Q207" s="1545"/>
      <c r="S207" s="1545"/>
      <c r="T207" s="1545"/>
      <c r="U207" s="1545"/>
      <c r="V207" s="1545"/>
      <c r="W207" s="1545"/>
      <c r="X207" s="1545"/>
      <c r="Y207" s="1545"/>
      <c r="Z207" s="1545"/>
      <c r="AA207" s="1545"/>
      <c r="AB207" s="1545"/>
      <c r="AC207" s="1545"/>
      <c r="AD207" s="1545"/>
      <c r="AE207" s="1545"/>
    </row>
    <row r="208" spans="1:31" ht="11.25" customHeight="1">
      <c r="A208" s="900"/>
      <c r="B208" s="1545"/>
      <c r="D208" s="1545"/>
      <c r="K208" s="1545"/>
      <c r="N208" s="1545"/>
      <c r="O208" s="1545"/>
      <c r="P208" s="1545"/>
      <c r="Q208" s="1545"/>
      <c r="S208" s="1545"/>
      <c r="T208" s="1545"/>
      <c r="U208" s="1545"/>
      <c r="V208" s="1545"/>
      <c r="W208" s="1545"/>
      <c r="X208" s="1545"/>
      <c r="Y208" s="1545"/>
      <c r="Z208" s="1545"/>
      <c r="AA208" s="1545"/>
      <c r="AB208" s="1545"/>
      <c r="AC208" s="1545"/>
      <c r="AD208" s="1545"/>
      <c r="AE208" s="1545"/>
    </row>
    <row r="209" spans="1:31" ht="11.25" customHeight="1">
      <c r="A209" s="900"/>
      <c r="B209" s="1545"/>
      <c r="D209" s="1545"/>
      <c r="K209" s="1545"/>
      <c r="N209" s="1545"/>
      <c r="O209" s="1545"/>
      <c r="P209" s="1545"/>
      <c r="Q209" s="1545"/>
      <c r="S209" s="1545"/>
      <c r="T209" s="1545"/>
      <c r="U209" s="1545"/>
      <c r="V209" s="1545"/>
      <c r="W209" s="1545"/>
      <c r="X209" s="1545"/>
      <c r="Y209" s="1545"/>
      <c r="Z209" s="1545"/>
      <c r="AA209" s="1545"/>
      <c r="AB209" s="1545"/>
      <c r="AC209" s="1545"/>
      <c r="AD209" s="1545"/>
      <c r="AE209" s="1545"/>
    </row>
  </sheetData>
  <sheetProtection formatColumns="0" formatRows="0" insertRows="0" deleteColumns="0" deleteRows="0" sort="0" autoFilter="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01"/>
  <sheetViews>
    <sheetView showGridLines="0" topLeftCell="C2" zoomScale="90" workbookViewId="0"/>
  </sheetViews>
  <sheetFormatPr defaultColWidth="10.5703125" defaultRowHeight="11.25" customHeight="1"/>
  <cols>
    <col min="1" max="1" width="9.140625" style="1916" hidden="1" customWidth="1"/>
    <col min="2" max="2" width="3.5703125" style="1811" hidden="1" customWidth="1"/>
    <col min="3" max="3" width="3.7109375" style="1873" customWidth="1"/>
    <col min="4" max="4" width="7.7109375" style="1873" customWidth="1"/>
    <col min="5" max="5" width="69.85546875" style="1873" customWidth="1"/>
    <col min="6" max="6" width="11.140625" style="1873" customWidth="1"/>
    <col min="7" max="8" width="44" style="1873" hidden="1" customWidth="1"/>
    <col min="9" max="10" width="44" style="1814" customWidth="1"/>
    <col min="11" max="11" width="74" style="1873" customWidth="1"/>
    <col min="12" max="12" width="3.7109375" style="1873" customWidth="1"/>
    <col min="13" max="23" width="10.5703125" style="1873"/>
  </cols>
  <sheetData>
    <row r="1" spans="1:12" s="1815" customFormat="1" ht="11.25" hidden="1" customHeight="1">
      <c r="A1" s="460"/>
      <c r="B1" s="436"/>
      <c r="G1" s="350">
        <v>4</v>
      </c>
      <c r="I1" s="350">
        <v>4</v>
      </c>
      <c r="K1" s="350">
        <v>5</v>
      </c>
    </row>
    <row r="2" spans="1:12" ht="3" customHeight="1"/>
    <row r="3" spans="1:12" ht="75" customHeight="1">
      <c r="D3" s="2012"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13"/>
      <c r="F3" s="2014"/>
    </row>
    <row r="4" spans="1:12" s="1814" customFormat="1" ht="20.25" customHeight="1">
      <c r="A4" s="862"/>
      <c r="B4" s="436"/>
      <c r="D4" s="2121" t="str">
        <f>IF(org=0,"Не определено",org)</f>
        <v>ООО "Горводоканал"</v>
      </c>
      <c r="E4" s="2122"/>
      <c r="F4" s="2123"/>
    </row>
    <row r="5" spans="1:12" ht="11.25" customHeight="1">
      <c r="C5" s="434"/>
      <c r="D5" s="510"/>
      <c r="E5" s="510"/>
      <c r="F5" s="510"/>
      <c r="G5" s="510"/>
      <c r="H5" s="670"/>
      <c r="I5" s="510"/>
      <c r="J5" s="670"/>
      <c r="K5" s="510"/>
    </row>
    <row r="6" spans="1:12" ht="0.75" customHeight="1">
      <c r="C6" s="434"/>
      <c r="D6" s="434"/>
      <c r="E6" s="447"/>
      <c r="F6" s="534"/>
      <c r="G6" s="931"/>
      <c r="H6" s="931"/>
      <c r="I6" s="931" t="s">
        <v>99</v>
      </c>
      <c r="J6" s="931"/>
    </row>
    <row r="7" spans="1:12" ht="11.25" customHeight="1">
      <c r="D7" s="629"/>
      <c r="E7" s="2224" t="s">
        <v>87</v>
      </c>
      <c r="F7" s="2225"/>
      <c r="G7" s="2240" t="str">
        <f>IF(G6="","",INDEX(DIFFERENTIATION_UNMERGE_VD,MATCH(G6,DIFFERENTIATION_ID_DIFF,0)))</f>
        <v/>
      </c>
      <c r="H7" s="2241"/>
      <c r="I7" s="2240">
        <f>IF(I6="","",INDEX(DIFFERENTIATION_UNMERGE_VD,MATCH(I6,DIFFERENTIATION_ID_DIFF,0)))</f>
        <v>0</v>
      </c>
      <c r="J7" s="2241"/>
      <c r="K7" s="2076"/>
      <c r="L7" s="434"/>
    </row>
    <row r="8" spans="1:12" ht="11.25" customHeight="1">
      <c r="A8" s="622"/>
      <c r="D8" s="629"/>
      <c r="E8" s="2224" t="s">
        <v>526</v>
      </c>
      <c r="F8" s="2225"/>
      <c r="G8" s="2240" t="str">
        <f>IF(G6="","",INDEX(DIFFERENTIATION_UNMERGE_AREA,MATCH(G6,DIFFERENTIATION_ID_DIFF,0)))</f>
        <v/>
      </c>
      <c r="H8" s="2241"/>
      <c r="I8" s="2240" t="str">
        <f>IF(I6="","",INDEX(DIFFERENTIATION_UNMERGE_AREA,MATCH(I6,DIFFERENTIATION_ID_DIFF,0)))</f>
        <v/>
      </c>
      <c r="J8" s="2241"/>
      <c r="K8" s="2081"/>
      <c r="L8" s="434"/>
    </row>
    <row r="9" spans="1:12" ht="11.25" customHeight="1">
      <c r="A9" s="622"/>
      <c r="D9" s="629"/>
      <c r="E9" s="2224" t="s">
        <v>527</v>
      </c>
      <c r="F9" s="2225"/>
      <c r="G9" s="2240" t="str">
        <f>IF(G6="","",INDEX(DIFFERENTIATION_UNMERGE_SYSTEM,MATCH(G6,DIFFERENTIATION_ID_DIFF,0)))</f>
        <v/>
      </c>
      <c r="H9" s="2241"/>
      <c r="I9" s="2240" t="str">
        <f>IF(I6="","",INDEX(DIFFERENTIATION_UNMERGE_SYSTEM,MATCH(I6,DIFFERENTIATION_ID_DIFF,0)))</f>
        <v>без дифференциации</v>
      </c>
      <c r="J9" s="2241"/>
      <c r="K9" s="2081"/>
      <c r="L9" s="434"/>
    </row>
    <row r="10" spans="1:12" s="1814" customFormat="1" ht="11.25" customHeight="1">
      <c r="A10" s="930"/>
      <c r="B10" s="436"/>
      <c r="D10" s="2001" t="s">
        <v>268</v>
      </c>
      <c r="E10" s="2006"/>
      <c r="F10" s="2006"/>
      <c r="G10" s="2006"/>
      <c r="H10" s="2006"/>
      <c r="I10" s="2006"/>
      <c r="J10" s="2000"/>
      <c r="K10" s="2081"/>
      <c r="L10" s="434"/>
    </row>
    <row r="11" spans="1:12" s="1816" customFormat="1" ht="22.5" customHeight="1">
      <c r="A11" s="2145"/>
      <c r="B11" s="2145"/>
      <c r="C11" s="577"/>
      <c r="D11" s="621" t="s">
        <v>73</v>
      </c>
      <c r="E11" s="623" t="s">
        <v>683</v>
      </c>
      <c r="F11" s="623" t="s">
        <v>528</v>
      </c>
      <c r="G11" s="391" t="s">
        <v>271</v>
      </c>
      <c r="H11" s="391" t="s">
        <v>360</v>
      </c>
      <c r="I11" s="725" t="s">
        <v>271</v>
      </c>
      <c r="J11" s="726" t="s">
        <v>360</v>
      </c>
      <c r="K11" s="2132"/>
      <c r="L11" s="578"/>
    </row>
    <row r="12" spans="1:12" s="1811" customFormat="1" ht="10.5" customHeight="1">
      <c r="A12" s="863"/>
      <c r="D12" s="934" t="s">
        <v>91</v>
      </c>
      <c r="E12" s="934" t="s">
        <v>92</v>
      </c>
      <c r="F12" s="934" t="s">
        <v>75</v>
      </c>
      <c r="G12" s="935" t="str">
        <f>G1&amp;".1"</f>
        <v>4.1</v>
      </c>
      <c r="H12" s="935" t="str">
        <f>G1&amp;".2"</f>
        <v>4.2</v>
      </c>
      <c r="I12" s="935" t="str">
        <f>I1&amp;".1"</f>
        <v>4.1</v>
      </c>
      <c r="J12" s="935" t="str">
        <f>I1&amp;".2"</f>
        <v>4.2</v>
      </c>
      <c r="K12" s="935"/>
    </row>
    <row r="13" spans="1:12" ht="22.5" hidden="1" customHeight="1">
      <c r="A13" s="2242" t="s">
        <v>684</v>
      </c>
      <c r="D13" s="864" t="s">
        <v>91</v>
      </c>
      <c r="E13" s="197" t="s">
        <v>685</v>
      </c>
      <c r="F13" s="580" t="s">
        <v>686</v>
      </c>
      <c r="G13" s="481"/>
      <c r="H13" s="581"/>
      <c r="I13" s="481"/>
      <c r="J13" s="581"/>
      <c r="K13" s="206" t="s">
        <v>687</v>
      </c>
      <c r="L13" s="638"/>
    </row>
    <row r="14" spans="1:12" ht="22.5" hidden="1" customHeight="1">
      <c r="A14" s="2242"/>
      <c r="D14" s="463" t="s">
        <v>92</v>
      </c>
      <c r="E14" s="197" t="s">
        <v>688</v>
      </c>
      <c r="F14" s="580" t="s">
        <v>689</v>
      </c>
      <c r="G14" s="481"/>
      <c r="H14" s="582"/>
      <c r="I14" s="481"/>
      <c r="J14" s="582"/>
      <c r="K14" s="206" t="s">
        <v>690</v>
      </c>
      <c r="L14" s="638"/>
    </row>
    <row r="15" spans="1:12" s="1814" customFormat="1" ht="78.75" hidden="1" customHeight="1">
      <c r="A15" s="2242"/>
      <c r="B15" s="436"/>
      <c r="D15" s="864" t="s">
        <v>75</v>
      </c>
      <c r="E15" s="625" t="s">
        <v>691</v>
      </c>
      <c r="F15" s="861" t="s">
        <v>274</v>
      </c>
      <c r="G15" s="861" t="s">
        <v>274</v>
      </c>
      <c r="H15" s="37"/>
      <c r="I15" s="861" t="s">
        <v>274</v>
      </c>
      <c r="J15" s="37"/>
      <c r="K15" s="206" t="s">
        <v>692</v>
      </c>
      <c r="L15" s="638"/>
    </row>
    <row r="16" spans="1:12" s="1814" customFormat="1" ht="22.5" hidden="1" customHeight="1">
      <c r="A16" s="2242"/>
      <c r="B16" s="436"/>
      <c r="D16" s="864" t="s">
        <v>294</v>
      </c>
      <c r="E16" s="865" t="s">
        <v>693</v>
      </c>
      <c r="F16" s="861" t="s">
        <v>694</v>
      </c>
      <c r="G16" s="735"/>
      <c r="H16" s="37"/>
      <c r="I16" s="735"/>
      <c r="J16" s="37"/>
      <c r="K16" s="206"/>
      <c r="L16" s="638"/>
    </row>
    <row r="17" spans="1:23" s="1814" customFormat="1" ht="22.5" hidden="1" customHeight="1">
      <c r="A17" s="2242"/>
      <c r="B17" s="436"/>
      <c r="D17" s="864" t="s">
        <v>302</v>
      </c>
      <c r="E17" s="865" t="s">
        <v>695</v>
      </c>
      <c r="F17" s="861" t="s">
        <v>696</v>
      </c>
      <c r="G17" s="735"/>
      <c r="H17" s="37"/>
      <c r="I17" s="735"/>
      <c r="J17" s="37"/>
      <c r="K17" s="206"/>
      <c r="L17" s="638"/>
    </row>
    <row r="18" spans="1:23" s="1814" customFormat="1" ht="33.75" hidden="1" customHeight="1">
      <c r="A18" s="2242"/>
      <c r="B18" s="436"/>
      <c r="D18" s="864" t="s">
        <v>304</v>
      </c>
      <c r="E18" s="865" t="s">
        <v>697</v>
      </c>
      <c r="F18" s="861" t="s">
        <v>533</v>
      </c>
      <c r="G18" s="600"/>
      <c r="H18" s="37"/>
      <c r="I18" s="600"/>
      <c r="J18" s="37"/>
      <c r="K18" s="206"/>
      <c r="L18" s="638"/>
    </row>
    <row r="19" spans="1:23" ht="101.25" hidden="1" customHeight="1">
      <c r="A19" s="2242"/>
      <c r="D19" s="864" t="s">
        <v>76</v>
      </c>
      <c r="E19" s="197" t="s">
        <v>698</v>
      </c>
      <c r="F19" s="580" t="s">
        <v>508</v>
      </c>
      <c r="G19" s="583"/>
      <c r="H19" s="582"/>
      <c r="I19" s="866"/>
      <c r="J19" s="582"/>
      <c r="K19" s="206" t="s">
        <v>699</v>
      </c>
      <c r="L19" s="638"/>
    </row>
    <row r="20" spans="1:23" s="1814" customFormat="1" ht="18.75" hidden="1" customHeight="1">
      <c r="A20" s="2242"/>
      <c r="C20" s="867"/>
      <c r="D20" s="864" t="s">
        <v>629</v>
      </c>
      <c r="E20" s="865" t="s">
        <v>700</v>
      </c>
      <c r="F20" s="861" t="s">
        <v>274</v>
      </c>
      <c r="G20" s="861" t="s">
        <v>274</v>
      </c>
      <c r="H20" s="860" t="s">
        <v>274</v>
      </c>
      <c r="I20" s="861" t="s">
        <v>274</v>
      </c>
      <c r="J20" s="860" t="s">
        <v>274</v>
      </c>
      <c r="K20" s="859"/>
      <c r="L20" s="638"/>
      <c r="W20" s="595"/>
    </row>
    <row r="21" spans="1:23" s="1814" customFormat="1" ht="33.75" hidden="1" customHeight="1">
      <c r="A21" s="2242"/>
      <c r="C21" s="867"/>
      <c r="D21" s="864" t="s">
        <v>632</v>
      </c>
      <c r="E21" s="500" t="s">
        <v>701</v>
      </c>
      <c r="F21" s="861" t="s">
        <v>702</v>
      </c>
      <c r="G21" s="854"/>
      <c r="H21" s="37"/>
      <c r="I21" s="854"/>
      <c r="J21" s="37"/>
      <c r="K21" s="859"/>
      <c r="L21" s="638"/>
      <c r="W21" s="595"/>
    </row>
    <row r="22" spans="1:23" s="1814" customFormat="1" ht="33.75" hidden="1" customHeight="1">
      <c r="A22" s="2242"/>
      <c r="C22" s="867"/>
      <c r="D22" s="864" t="s">
        <v>635</v>
      </c>
      <c r="E22" s="500" t="s">
        <v>703</v>
      </c>
      <c r="F22" s="861" t="s">
        <v>704</v>
      </c>
      <c r="G22" s="854"/>
      <c r="H22" s="37"/>
      <c r="I22" s="854"/>
      <c r="J22" s="37"/>
      <c r="K22" s="859"/>
      <c r="L22" s="638"/>
      <c r="W22" s="595"/>
    </row>
    <row r="23" spans="1:23" s="1814" customFormat="1" ht="22.5" hidden="1" customHeight="1">
      <c r="A23" s="2242"/>
      <c r="C23" s="867"/>
      <c r="D23" s="864" t="s">
        <v>672</v>
      </c>
      <c r="E23" s="865" t="s">
        <v>705</v>
      </c>
      <c r="F23" s="861" t="s">
        <v>274</v>
      </c>
      <c r="G23" s="861" t="s">
        <v>274</v>
      </c>
      <c r="H23" s="860" t="s">
        <v>274</v>
      </c>
      <c r="I23" s="861" t="s">
        <v>274</v>
      </c>
      <c r="J23" s="860" t="s">
        <v>274</v>
      </c>
      <c r="K23" s="859"/>
      <c r="L23" s="638"/>
      <c r="W23" s="595"/>
    </row>
    <row r="24" spans="1:23" s="1814" customFormat="1" ht="22.5" hidden="1" customHeight="1">
      <c r="A24" s="2242"/>
      <c r="C24" s="867"/>
      <c r="D24" s="864" t="s">
        <v>706</v>
      </c>
      <c r="E24" s="500" t="s">
        <v>707</v>
      </c>
      <c r="F24" s="861" t="s">
        <v>708</v>
      </c>
      <c r="G24" s="854"/>
      <c r="H24" s="605"/>
      <c r="I24" s="854"/>
      <c r="J24" s="605"/>
      <c r="K24" s="859"/>
      <c r="L24" s="638"/>
      <c r="W24" s="595"/>
    </row>
    <row r="25" spans="1:23" s="1814" customFormat="1" ht="22.5" hidden="1" customHeight="1">
      <c r="A25" s="2242"/>
      <c r="C25" s="867"/>
      <c r="D25" s="864" t="s">
        <v>709</v>
      </c>
      <c r="E25" s="500" t="s">
        <v>710</v>
      </c>
      <c r="F25" s="861" t="s">
        <v>274</v>
      </c>
      <c r="G25" s="861" t="s">
        <v>274</v>
      </c>
      <c r="H25" s="860" t="s">
        <v>274</v>
      </c>
      <c r="I25" s="861" t="s">
        <v>274</v>
      </c>
      <c r="J25" s="860" t="s">
        <v>274</v>
      </c>
      <c r="K25" s="859"/>
      <c r="L25" s="638"/>
      <c r="W25" s="595"/>
    </row>
    <row r="26" spans="1:23" s="1814" customFormat="1" ht="18.75" hidden="1" customHeight="1">
      <c r="A26" s="2242"/>
      <c r="C26" s="867"/>
      <c r="D26" s="864" t="s">
        <v>711</v>
      </c>
      <c r="E26" s="477" t="s">
        <v>712</v>
      </c>
      <c r="F26" s="861" t="s">
        <v>713</v>
      </c>
      <c r="G26" s="600"/>
      <c r="H26" s="605"/>
      <c r="I26" s="600"/>
      <c r="J26" s="605"/>
      <c r="K26" s="859"/>
      <c r="L26" s="638"/>
      <c r="W26" s="595"/>
    </row>
    <row r="27" spans="1:23" s="1814" customFormat="1" ht="18.75" hidden="1" customHeight="1">
      <c r="A27" s="2242"/>
      <c r="C27" s="867"/>
      <c r="D27" s="864" t="s">
        <v>714</v>
      </c>
      <c r="E27" s="477" t="s">
        <v>715</v>
      </c>
      <c r="F27" s="861" t="s">
        <v>716</v>
      </c>
      <c r="G27" s="600"/>
      <c r="H27" s="605"/>
      <c r="I27" s="600"/>
      <c r="J27" s="605"/>
      <c r="K27" s="859"/>
      <c r="L27" s="638"/>
      <c r="W27" s="595"/>
    </row>
    <row r="28" spans="1:23" s="1814" customFormat="1" ht="18.75" hidden="1" customHeight="1">
      <c r="A28" s="2242"/>
      <c r="C28" s="867"/>
      <c r="D28" s="864" t="s">
        <v>717</v>
      </c>
      <c r="E28" s="500" t="s">
        <v>718</v>
      </c>
      <c r="F28" s="861" t="s">
        <v>274</v>
      </c>
      <c r="G28" s="861" t="s">
        <v>274</v>
      </c>
      <c r="H28" s="860" t="s">
        <v>274</v>
      </c>
      <c r="I28" s="861" t="s">
        <v>274</v>
      </c>
      <c r="J28" s="860" t="s">
        <v>274</v>
      </c>
      <c r="K28" s="859"/>
      <c r="L28" s="638"/>
      <c r="W28" s="595"/>
    </row>
    <row r="29" spans="1:23" s="1814" customFormat="1" ht="18.75" hidden="1" customHeight="1">
      <c r="A29" s="2242"/>
      <c r="C29" s="867"/>
      <c r="D29" s="864" t="s">
        <v>719</v>
      </c>
      <c r="E29" s="477" t="s">
        <v>712</v>
      </c>
      <c r="F29" s="861" t="s">
        <v>720</v>
      </c>
      <c r="G29" s="600"/>
      <c r="H29" s="605"/>
      <c r="I29" s="600"/>
      <c r="J29" s="605"/>
      <c r="K29" s="859"/>
      <c r="L29" s="638"/>
      <c r="W29" s="595"/>
    </row>
    <row r="30" spans="1:23" s="1814" customFormat="1" ht="18.75" hidden="1" customHeight="1">
      <c r="A30" s="2242"/>
      <c r="C30" s="867"/>
      <c r="D30" s="864" t="s">
        <v>721</v>
      </c>
      <c r="E30" s="477" t="s">
        <v>722</v>
      </c>
      <c r="F30" s="861" t="s">
        <v>723</v>
      </c>
      <c r="G30" s="600"/>
      <c r="H30" s="605"/>
      <c r="I30" s="600"/>
      <c r="J30" s="605"/>
      <c r="K30" s="859"/>
      <c r="L30" s="638"/>
      <c r="W30" s="595"/>
    </row>
    <row r="31" spans="1:23" ht="126.75" hidden="1" customHeight="1">
      <c r="A31" s="2242"/>
      <c r="D31" s="864" t="s">
        <v>93</v>
      </c>
      <c r="E31" s="197" t="s">
        <v>724</v>
      </c>
      <c r="F31" s="580" t="s">
        <v>520</v>
      </c>
      <c r="G31" s="481"/>
      <c r="H31" s="582"/>
      <c r="I31" s="481"/>
      <c r="J31" s="582"/>
      <c r="K31" s="206" t="s">
        <v>725</v>
      </c>
      <c r="L31" s="638"/>
    </row>
    <row r="32" spans="1:23" ht="56.25" hidden="1" customHeight="1">
      <c r="A32" s="2242"/>
      <c r="D32" s="864" t="s">
        <v>77</v>
      </c>
      <c r="E32" s="197" t="s">
        <v>726</v>
      </c>
      <c r="F32" s="463" t="s">
        <v>696</v>
      </c>
      <c r="G32" s="481"/>
      <c r="H32" s="582"/>
      <c r="I32" s="481"/>
      <c r="J32" s="582"/>
      <c r="K32" s="206" t="s">
        <v>727</v>
      </c>
      <c r="L32" s="638"/>
    </row>
    <row r="33" spans="1:11" ht="11.25" hidden="1" customHeight="1">
      <c r="A33" s="2242"/>
      <c r="E33" s="584"/>
      <c r="F33" s="102"/>
      <c r="G33" s="102"/>
      <c r="H33" s="102"/>
      <c r="I33" s="102"/>
      <c r="J33" s="102"/>
      <c r="K33" s="102"/>
    </row>
    <row r="34" spans="1:11" ht="12.75" hidden="1" customHeight="1">
      <c r="A34" s="2242"/>
      <c r="D34" s="2">
        <v>1</v>
      </c>
      <c r="E34" s="260" t="s">
        <v>728</v>
      </c>
    </row>
    <row r="35" spans="1:11" ht="11.25" hidden="1" customHeight="1">
      <c r="A35" s="2242"/>
      <c r="D35" s="296"/>
      <c r="E35" s="260" t="s">
        <v>729</v>
      </c>
    </row>
    <row r="36" spans="1:11" s="1816" customFormat="1" ht="11.25" customHeight="1">
      <c r="A36" s="942"/>
      <c r="B36" s="443"/>
      <c r="D36" s="943"/>
      <c r="E36" s="944"/>
    </row>
    <row r="37" spans="1:11" s="1814" customFormat="1" ht="22.5" hidden="1" customHeight="1">
      <c r="A37" s="2242" t="s">
        <v>730</v>
      </c>
      <c r="B37" s="436"/>
      <c r="D37" s="864">
        <v>1</v>
      </c>
      <c r="E37" s="625" t="s">
        <v>731</v>
      </c>
      <c r="F37" s="580" t="s">
        <v>686</v>
      </c>
      <c r="G37" s="481"/>
      <c r="H37" s="444"/>
      <c r="I37" s="481"/>
      <c r="J37" s="444"/>
      <c r="K37" s="206" t="s">
        <v>732</v>
      </c>
    </row>
    <row r="38" spans="1:11" s="1814" customFormat="1" ht="22.5" hidden="1" customHeight="1">
      <c r="A38" s="2242"/>
      <c r="B38" s="436"/>
      <c r="D38" s="589" t="s">
        <v>92</v>
      </c>
      <c r="E38" s="941" t="s">
        <v>733</v>
      </c>
      <c r="F38" s="945" t="s">
        <v>508</v>
      </c>
      <c r="G38" s="945" t="s">
        <v>508</v>
      </c>
      <c r="H38" s="939"/>
      <c r="I38" s="945" t="s">
        <v>508</v>
      </c>
      <c r="J38" s="939"/>
      <c r="K38" s="940"/>
    </row>
    <row r="39" spans="1:11" s="1814" customFormat="1" ht="33.75" hidden="1" customHeight="1">
      <c r="A39" s="2242"/>
      <c r="B39" s="436"/>
      <c r="D39" s="585" t="s">
        <v>587</v>
      </c>
      <c r="E39" s="642" t="s">
        <v>734</v>
      </c>
      <c r="F39" s="580" t="s">
        <v>735</v>
      </c>
      <c r="G39" s="588"/>
      <c r="H39" s="932"/>
      <c r="I39" s="588"/>
      <c r="J39" s="932"/>
      <c r="K39" s="206" t="s">
        <v>736</v>
      </c>
    </row>
    <row r="40" spans="1:11" s="1814" customFormat="1" ht="33.75" hidden="1" customHeight="1">
      <c r="A40" s="2242"/>
      <c r="B40" s="436"/>
      <c r="D40" s="585" t="s">
        <v>590</v>
      </c>
      <c r="E40" s="642" t="s">
        <v>737</v>
      </c>
      <c r="F40" s="936" t="s">
        <v>738</v>
      </c>
      <c r="G40" s="659"/>
      <c r="H40" s="932"/>
      <c r="I40" s="659"/>
      <c r="J40" s="932"/>
      <c r="K40" s="206" t="s">
        <v>739</v>
      </c>
    </row>
    <row r="41" spans="1:11" s="1814" customFormat="1" ht="22.5" hidden="1" customHeight="1">
      <c r="A41" s="2242"/>
      <c r="B41" s="436"/>
      <c r="D41" s="585" t="s">
        <v>75</v>
      </c>
      <c r="E41" s="641" t="s">
        <v>740</v>
      </c>
      <c r="F41" s="580" t="s">
        <v>508</v>
      </c>
      <c r="G41" s="580" t="s">
        <v>508</v>
      </c>
      <c r="H41" s="933"/>
      <c r="I41" s="580" t="s">
        <v>508</v>
      </c>
      <c r="J41" s="933"/>
      <c r="K41" s="219"/>
    </row>
    <row r="42" spans="1:11" s="1814" customFormat="1" ht="45" hidden="1" customHeight="1">
      <c r="A42" s="2242"/>
      <c r="B42" s="436"/>
      <c r="D42" s="585" t="s">
        <v>294</v>
      </c>
      <c r="E42" s="642" t="s">
        <v>741</v>
      </c>
      <c r="F42" s="580" t="s">
        <v>520</v>
      </c>
      <c r="G42" s="481"/>
      <c r="H42" s="933"/>
      <c r="I42" s="481"/>
      <c r="J42" s="933"/>
      <c r="K42" s="219" t="s">
        <v>742</v>
      </c>
    </row>
    <row r="43" spans="1:11" s="1814" customFormat="1" ht="45" hidden="1" customHeight="1">
      <c r="A43" s="2242"/>
      <c r="B43" s="436"/>
      <c r="D43" s="585" t="s">
        <v>302</v>
      </c>
      <c r="E43" s="587" t="s">
        <v>743</v>
      </c>
      <c r="F43" s="937" t="s">
        <v>520</v>
      </c>
      <c r="G43" s="660"/>
      <c r="H43" s="932"/>
      <c r="I43" s="660"/>
      <c r="J43" s="932"/>
      <c r="K43" s="219" t="s">
        <v>744</v>
      </c>
    </row>
    <row r="44" spans="1:11" s="1814" customFormat="1" ht="11.25" hidden="1" customHeight="1">
      <c r="A44" s="2242"/>
      <c r="B44" s="436"/>
      <c r="D44" s="585" t="s">
        <v>76</v>
      </c>
      <c r="E44" s="586" t="s">
        <v>745</v>
      </c>
      <c r="F44" s="580" t="s">
        <v>735</v>
      </c>
      <c r="G44" s="588"/>
      <c r="H44" s="932"/>
      <c r="I44" s="588"/>
      <c r="J44" s="932"/>
      <c r="K44" s="206"/>
    </row>
    <row r="45" spans="1:11" s="1814" customFormat="1" ht="11.25" hidden="1" customHeight="1">
      <c r="A45" s="2242"/>
      <c r="B45" s="436"/>
      <c r="D45" s="585" t="s">
        <v>629</v>
      </c>
      <c r="E45" s="587" t="s">
        <v>746</v>
      </c>
      <c r="F45" s="580" t="s">
        <v>735</v>
      </c>
      <c r="G45" s="588"/>
      <c r="H45" s="932"/>
      <c r="I45" s="588"/>
      <c r="J45" s="932"/>
      <c r="K45" s="206"/>
    </row>
    <row r="46" spans="1:11" s="1814" customFormat="1" ht="11.25" hidden="1" customHeight="1">
      <c r="A46" s="2242"/>
      <c r="B46" s="436"/>
      <c r="D46" s="585" t="s">
        <v>672</v>
      </c>
      <c r="E46" s="587" t="s">
        <v>747</v>
      </c>
      <c r="F46" s="580" t="s">
        <v>735</v>
      </c>
      <c r="G46" s="588"/>
      <c r="H46" s="932"/>
      <c r="I46" s="588"/>
      <c r="J46" s="932"/>
      <c r="K46" s="206"/>
    </row>
    <row r="47" spans="1:11" s="1814" customFormat="1" ht="11.25" hidden="1" customHeight="1">
      <c r="A47" s="2242"/>
      <c r="B47" s="436"/>
      <c r="D47" s="585" t="s">
        <v>675</v>
      </c>
      <c r="E47" s="587" t="s">
        <v>748</v>
      </c>
      <c r="F47" s="580" t="s">
        <v>735</v>
      </c>
      <c r="G47" s="588"/>
      <c r="H47" s="932"/>
      <c r="I47" s="588"/>
      <c r="J47" s="932"/>
      <c r="K47" s="206"/>
    </row>
    <row r="48" spans="1:11" s="1814" customFormat="1" ht="11.25" hidden="1" customHeight="1">
      <c r="A48" s="2242"/>
      <c r="B48" s="436"/>
      <c r="D48" s="585" t="s">
        <v>749</v>
      </c>
      <c r="E48" s="591" t="s">
        <v>750</v>
      </c>
      <c r="F48" s="580" t="s">
        <v>735</v>
      </c>
      <c r="G48" s="588"/>
      <c r="H48" s="932"/>
      <c r="I48" s="588"/>
      <c r="J48" s="932"/>
      <c r="K48" s="206"/>
    </row>
    <row r="49" spans="1:11" s="1814" customFormat="1" ht="11.25" hidden="1" customHeight="1">
      <c r="A49" s="2242"/>
      <c r="B49" s="436"/>
      <c r="D49" s="585" t="s">
        <v>751</v>
      </c>
      <c r="E49" s="591" t="s">
        <v>752</v>
      </c>
      <c r="F49" s="580" t="s">
        <v>735</v>
      </c>
      <c r="G49" s="588"/>
      <c r="H49" s="932"/>
      <c r="I49" s="588"/>
      <c r="J49" s="932"/>
      <c r="K49" s="206"/>
    </row>
    <row r="50" spans="1:11" s="1814" customFormat="1" ht="11.25" hidden="1" customHeight="1">
      <c r="A50" s="2242"/>
      <c r="B50" s="436"/>
      <c r="D50" s="585" t="s">
        <v>753</v>
      </c>
      <c r="E50" s="587" t="s">
        <v>754</v>
      </c>
      <c r="F50" s="580" t="s">
        <v>735</v>
      </c>
      <c r="G50" s="588"/>
      <c r="H50" s="932"/>
      <c r="I50" s="588"/>
      <c r="J50" s="932"/>
      <c r="K50" s="206"/>
    </row>
    <row r="51" spans="1:11" s="1814" customFormat="1" ht="11.25" hidden="1" customHeight="1">
      <c r="A51" s="2242"/>
      <c r="B51" s="436"/>
      <c r="D51" s="585" t="s">
        <v>755</v>
      </c>
      <c r="E51" s="587" t="s">
        <v>756</v>
      </c>
      <c r="F51" s="580" t="s">
        <v>735</v>
      </c>
      <c r="G51" s="588"/>
      <c r="H51" s="932"/>
      <c r="I51" s="588"/>
      <c r="J51" s="932"/>
      <c r="K51" s="206"/>
    </row>
    <row r="52" spans="1:11" s="1814" customFormat="1" ht="45" hidden="1" customHeight="1">
      <c r="A52" s="2242"/>
      <c r="B52" s="436"/>
      <c r="D52" s="585" t="s">
        <v>93</v>
      </c>
      <c r="E52" s="586" t="s">
        <v>757</v>
      </c>
      <c r="F52" s="580" t="s">
        <v>735</v>
      </c>
      <c r="G52" s="588"/>
      <c r="H52" s="932"/>
      <c r="I52" s="588"/>
      <c r="J52" s="932"/>
      <c r="K52" s="206"/>
    </row>
    <row r="53" spans="1:11" s="1814" customFormat="1" ht="11.25" hidden="1" customHeight="1">
      <c r="A53" s="2242"/>
      <c r="B53" s="436"/>
      <c r="D53" s="585" t="s">
        <v>283</v>
      </c>
      <c r="E53" s="587" t="s">
        <v>746</v>
      </c>
      <c r="F53" s="580" t="s">
        <v>735</v>
      </c>
      <c r="G53" s="588"/>
      <c r="H53" s="932"/>
      <c r="I53" s="588"/>
      <c r="J53" s="932"/>
      <c r="K53" s="206"/>
    </row>
    <row r="54" spans="1:11" s="1814" customFormat="1" ht="11.25" hidden="1" customHeight="1">
      <c r="A54" s="2242"/>
      <c r="B54" s="436"/>
      <c r="D54" s="585" t="s">
        <v>285</v>
      </c>
      <c r="E54" s="587" t="s">
        <v>747</v>
      </c>
      <c r="F54" s="580" t="s">
        <v>735</v>
      </c>
      <c r="G54" s="588"/>
      <c r="H54" s="932"/>
      <c r="I54" s="588"/>
      <c r="J54" s="932"/>
      <c r="K54" s="206"/>
    </row>
    <row r="55" spans="1:11" s="1814" customFormat="1" ht="11.25" hidden="1" customHeight="1">
      <c r="A55" s="2242"/>
      <c r="B55" s="436"/>
      <c r="D55" s="585" t="s">
        <v>288</v>
      </c>
      <c r="E55" s="587" t="s">
        <v>748</v>
      </c>
      <c r="F55" s="580" t="s">
        <v>735</v>
      </c>
      <c r="G55" s="588"/>
      <c r="H55" s="932"/>
      <c r="I55" s="588"/>
      <c r="J55" s="932"/>
      <c r="K55" s="206"/>
    </row>
    <row r="56" spans="1:11" s="1814" customFormat="1" ht="11.25" hidden="1" customHeight="1">
      <c r="A56" s="2242"/>
      <c r="B56" s="436"/>
      <c r="D56" s="585" t="s">
        <v>758</v>
      </c>
      <c r="E56" s="591" t="s">
        <v>750</v>
      </c>
      <c r="F56" s="580" t="s">
        <v>735</v>
      </c>
      <c r="G56" s="588"/>
      <c r="H56" s="932"/>
      <c r="I56" s="588"/>
      <c r="J56" s="932"/>
      <c r="K56" s="206"/>
    </row>
    <row r="57" spans="1:11" s="1814" customFormat="1" ht="11.25" hidden="1" customHeight="1">
      <c r="A57" s="2242"/>
      <c r="B57" s="436"/>
      <c r="D57" s="585" t="s">
        <v>759</v>
      </c>
      <c r="E57" s="591" t="s">
        <v>752</v>
      </c>
      <c r="F57" s="580" t="s">
        <v>735</v>
      </c>
      <c r="G57" s="588"/>
      <c r="H57" s="932"/>
      <c r="I57" s="588"/>
      <c r="J57" s="932"/>
      <c r="K57" s="206"/>
    </row>
    <row r="58" spans="1:11" s="1814" customFormat="1" ht="11.25" hidden="1" customHeight="1">
      <c r="A58" s="2242"/>
      <c r="B58" s="436"/>
      <c r="D58" s="585" t="s">
        <v>290</v>
      </c>
      <c r="E58" s="587" t="s">
        <v>754</v>
      </c>
      <c r="F58" s="580" t="s">
        <v>735</v>
      </c>
      <c r="G58" s="588"/>
      <c r="H58" s="932"/>
      <c r="I58" s="588"/>
      <c r="J58" s="932"/>
      <c r="K58" s="206"/>
    </row>
    <row r="59" spans="1:11" s="1814" customFormat="1" ht="11.25" hidden="1" customHeight="1">
      <c r="A59" s="2242"/>
      <c r="B59" s="436"/>
      <c r="D59" s="585" t="s">
        <v>760</v>
      </c>
      <c r="E59" s="587" t="s">
        <v>756</v>
      </c>
      <c r="F59" s="580" t="s">
        <v>735</v>
      </c>
      <c r="G59" s="588"/>
      <c r="H59" s="932"/>
      <c r="I59" s="588"/>
      <c r="J59" s="932"/>
      <c r="K59" s="206"/>
    </row>
    <row r="60" spans="1:11" s="1814" customFormat="1" ht="33.75" hidden="1" customHeight="1">
      <c r="A60" s="2242"/>
      <c r="B60" s="436"/>
      <c r="D60" s="585" t="s">
        <v>77</v>
      </c>
      <c r="E60" s="586" t="s">
        <v>761</v>
      </c>
      <c r="F60" s="640" t="s">
        <v>520</v>
      </c>
      <c r="G60" s="660"/>
      <c r="H60" s="932"/>
      <c r="I60" s="660"/>
      <c r="J60" s="932"/>
      <c r="K60" s="219" t="s">
        <v>762</v>
      </c>
    </row>
    <row r="61" spans="1:11" s="1814" customFormat="1" ht="33.75" hidden="1" customHeight="1">
      <c r="A61" s="2242"/>
      <c r="B61" s="436"/>
      <c r="D61" s="585" t="s">
        <v>78</v>
      </c>
      <c r="E61" s="586" t="s">
        <v>763</v>
      </c>
      <c r="F61" s="645" t="s">
        <v>696</v>
      </c>
      <c r="G61" s="588"/>
      <c r="H61" s="932"/>
      <c r="I61" s="588"/>
      <c r="J61" s="932"/>
      <c r="K61" s="206"/>
    </row>
    <row r="62" spans="1:11" s="1814" customFormat="1" ht="22.5" hidden="1" customHeight="1">
      <c r="A62" s="2242"/>
      <c r="B62" s="436" t="s">
        <v>550</v>
      </c>
      <c r="D62" s="585" t="s">
        <v>94</v>
      </c>
      <c r="E62" s="586" t="s">
        <v>764</v>
      </c>
      <c r="F62" s="645" t="s">
        <v>274</v>
      </c>
      <c r="G62" s="315"/>
      <c r="H62" s="932"/>
      <c r="I62" s="315"/>
      <c r="J62" s="932"/>
      <c r="K62" s="206" t="s">
        <v>765</v>
      </c>
    </row>
    <row r="63" spans="1:11" s="1814" customFormat="1" ht="45" hidden="1" customHeight="1">
      <c r="A63" s="2242"/>
      <c r="B63" s="436" t="s">
        <v>550</v>
      </c>
      <c r="D63" s="585" t="s">
        <v>766</v>
      </c>
      <c r="E63" s="587" t="s">
        <v>767</v>
      </c>
      <c r="F63" s="640" t="s">
        <v>274</v>
      </c>
      <c r="G63" s="315"/>
      <c r="H63" s="932"/>
      <c r="I63" s="315"/>
      <c r="J63" s="932"/>
      <c r="K63" s="206" t="s">
        <v>765</v>
      </c>
    </row>
    <row r="64" spans="1:11" s="1816" customFormat="1" ht="11.25" customHeight="1">
      <c r="A64" s="942"/>
      <c r="B64" s="443"/>
      <c r="D64" s="943"/>
      <c r="E64" s="944"/>
    </row>
    <row r="65" spans="1:11" s="1814" customFormat="1" ht="22.5" hidden="1" customHeight="1">
      <c r="A65" s="2242" t="s">
        <v>768</v>
      </c>
      <c r="B65" s="436"/>
      <c r="D65" s="585">
        <v>1</v>
      </c>
      <c r="E65" s="662" t="s">
        <v>769</v>
      </c>
      <c r="F65" s="658" t="s">
        <v>686</v>
      </c>
      <c r="G65" s="659"/>
      <c r="H65" s="938"/>
      <c r="I65" s="659"/>
      <c r="J65" s="938"/>
      <c r="K65" s="218" t="s">
        <v>770</v>
      </c>
    </row>
    <row r="66" spans="1:11" s="1814" customFormat="1" ht="56.25" hidden="1" customHeight="1">
      <c r="A66" s="2242"/>
      <c r="B66" s="436"/>
      <c r="D66" s="661" t="s">
        <v>92</v>
      </c>
      <c r="E66" s="625" t="s">
        <v>771</v>
      </c>
      <c r="F66" s="580" t="s">
        <v>508</v>
      </c>
      <c r="G66" s="580" t="s">
        <v>508</v>
      </c>
      <c r="H66" s="444"/>
      <c r="I66" s="580" t="s">
        <v>508</v>
      </c>
      <c r="J66" s="444"/>
      <c r="K66" s="206"/>
    </row>
    <row r="67" spans="1:11" s="1814" customFormat="1" ht="33.75" hidden="1" customHeight="1">
      <c r="A67" s="2242"/>
      <c r="B67" s="436"/>
      <c r="D67" s="661" t="s">
        <v>584</v>
      </c>
      <c r="E67" s="865" t="s">
        <v>772</v>
      </c>
      <c r="F67" s="580" t="s">
        <v>738</v>
      </c>
      <c r="G67" s="646"/>
      <c r="H67" s="444"/>
      <c r="I67" s="646"/>
      <c r="J67" s="444"/>
      <c r="K67" s="206"/>
    </row>
    <row r="68" spans="1:11" s="1814" customFormat="1" ht="22.5" hidden="1" customHeight="1">
      <c r="A68" s="2242"/>
      <c r="B68" s="436"/>
      <c r="D68" s="661" t="s">
        <v>275</v>
      </c>
      <c r="E68" s="865" t="s">
        <v>773</v>
      </c>
      <c r="F68" s="580" t="s">
        <v>738</v>
      </c>
      <c r="G68" s="646"/>
      <c r="H68" s="444"/>
      <c r="I68" s="646"/>
      <c r="J68" s="444"/>
      <c r="K68" s="206"/>
    </row>
    <row r="69" spans="1:11" s="1814" customFormat="1" ht="22.5" hidden="1" customHeight="1">
      <c r="A69" s="2242"/>
      <c r="B69" s="436"/>
      <c r="D69" s="661" t="s">
        <v>278</v>
      </c>
      <c r="E69" s="865" t="s">
        <v>774</v>
      </c>
      <c r="F69" s="640" t="s">
        <v>520</v>
      </c>
      <c r="G69" s="660"/>
      <c r="H69" s="444"/>
      <c r="I69" s="660"/>
      <c r="J69" s="444"/>
      <c r="K69" s="206"/>
    </row>
    <row r="70" spans="1:11" s="1814" customFormat="1" ht="22.5" hidden="1" customHeight="1">
      <c r="A70" s="2242"/>
      <c r="B70" s="436"/>
      <c r="D70" s="661" t="s">
        <v>604</v>
      </c>
      <c r="E70" s="865" t="s">
        <v>775</v>
      </c>
      <c r="F70" s="640" t="s">
        <v>520</v>
      </c>
      <c r="G70" s="660"/>
      <c r="H70" s="444"/>
      <c r="I70" s="660"/>
      <c r="J70" s="444"/>
      <c r="K70" s="206"/>
    </row>
    <row r="71" spans="1:11" s="1814" customFormat="1" ht="22.5" hidden="1" customHeight="1">
      <c r="A71" s="2242"/>
      <c r="B71" s="436"/>
      <c r="D71" s="585" t="s">
        <v>75</v>
      </c>
      <c r="E71" s="586" t="s">
        <v>776</v>
      </c>
      <c r="F71" s="580" t="s">
        <v>738</v>
      </c>
      <c r="G71" s="481"/>
      <c r="H71" s="939"/>
      <c r="I71" s="481"/>
      <c r="J71" s="939"/>
      <c r="K71" s="219"/>
    </row>
    <row r="72" spans="1:11" s="1814" customFormat="1" ht="56.25" hidden="1" customHeight="1">
      <c r="A72" s="2242"/>
      <c r="B72" s="436"/>
      <c r="D72" s="585" t="s">
        <v>76</v>
      </c>
      <c r="E72" s="586" t="s">
        <v>777</v>
      </c>
      <c r="F72" s="640" t="s">
        <v>520</v>
      </c>
      <c r="G72" s="660"/>
      <c r="H72" s="932"/>
      <c r="I72" s="660"/>
      <c r="J72" s="932"/>
      <c r="K72" s="219"/>
    </row>
    <row r="73" spans="1:11" s="1814" customFormat="1" ht="33.75" hidden="1" customHeight="1">
      <c r="A73" s="2242"/>
      <c r="B73" s="436"/>
      <c r="D73" s="585" t="s">
        <v>93</v>
      </c>
      <c r="E73" s="586" t="s">
        <v>778</v>
      </c>
      <c r="F73" s="645" t="s">
        <v>696</v>
      </c>
      <c r="G73" s="588"/>
      <c r="H73" s="932"/>
      <c r="I73" s="588"/>
      <c r="J73" s="932"/>
      <c r="K73" s="206"/>
    </row>
    <row r="74" spans="1:11" s="1814" customFormat="1" ht="22.5" hidden="1" customHeight="1">
      <c r="A74" s="2242"/>
      <c r="B74" s="436" t="s">
        <v>550</v>
      </c>
      <c r="D74" s="585" t="s">
        <v>77</v>
      </c>
      <c r="E74" s="586" t="s">
        <v>779</v>
      </c>
      <c r="F74" s="645" t="s">
        <v>274</v>
      </c>
      <c r="G74" s="315"/>
      <c r="H74" s="932"/>
      <c r="I74" s="315"/>
      <c r="J74" s="932"/>
      <c r="K74" s="206" t="s">
        <v>765</v>
      </c>
    </row>
    <row r="75" spans="1:11" s="1814" customFormat="1" ht="45" hidden="1" customHeight="1">
      <c r="A75" s="2242"/>
      <c r="B75" s="436" t="s">
        <v>550</v>
      </c>
      <c r="D75" s="585" t="s">
        <v>780</v>
      </c>
      <c r="E75" s="587" t="s">
        <v>781</v>
      </c>
      <c r="F75" s="640" t="s">
        <v>274</v>
      </c>
      <c r="G75" s="315"/>
      <c r="H75" s="932"/>
      <c r="I75" s="315"/>
      <c r="J75" s="932"/>
      <c r="K75" s="206" t="s">
        <v>765</v>
      </c>
    </row>
    <row r="76" spans="1:11" s="1816" customFormat="1" ht="11.25" customHeight="1">
      <c r="A76" s="942"/>
      <c r="B76" s="443"/>
      <c r="D76" s="943"/>
      <c r="E76" s="944"/>
    </row>
    <row r="77" spans="1:11" s="1814" customFormat="1" ht="11.25" customHeight="1">
      <c r="A77" s="2242" t="s">
        <v>782</v>
      </c>
      <c r="B77" s="436"/>
      <c r="D77" s="585">
        <v>1</v>
      </c>
      <c r="E77" s="586" t="s">
        <v>783</v>
      </c>
      <c r="F77" s="640" t="s">
        <v>686</v>
      </c>
      <c r="G77" s="643"/>
      <c r="H77" s="932"/>
      <c r="I77" s="643"/>
      <c r="J77" s="932"/>
      <c r="K77" s="206" t="s">
        <v>784</v>
      </c>
    </row>
    <row r="78" spans="1:11" s="1814" customFormat="1" ht="11.25" customHeight="1">
      <c r="A78" s="2242"/>
      <c r="B78" s="436"/>
      <c r="D78" s="585" t="s">
        <v>92</v>
      </c>
      <c r="E78" s="586" t="s">
        <v>785</v>
      </c>
      <c r="F78" s="640" t="s">
        <v>686</v>
      </c>
      <c r="G78" s="643"/>
      <c r="H78" s="932"/>
      <c r="I78" s="643"/>
      <c r="J78" s="932"/>
      <c r="K78" s="206" t="s">
        <v>786</v>
      </c>
    </row>
    <row r="79" spans="1:11" s="1814" customFormat="1" ht="22.5" customHeight="1">
      <c r="A79" s="2242"/>
      <c r="B79" s="436"/>
      <c r="D79" s="585" t="s">
        <v>75</v>
      </c>
      <c r="E79" s="641" t="s">
        <v>787</v>
      </c>
      <c r="F79" s="580" t="s">
        <v>735</v>
      </c>
      <c r="G79" s="643"/>
      <c r="H79" s="932"/>
      <c r="I79" s="643"/>
      <c r="J79" s="932"/>
      <c r="K79" s="206" t="s">
        <v>788</v>
      </c>
    </row>
    <row r="80" spans="1:11" s="1814" customFormat="1" ht="11.25" customHeight="1">
      <c r="A80" s="2242"/>
      <c r="B80" s="436"/>
      <c r="D80" s="585" t="s">
        <v>294</v>
      </c>
      <c r="E80" s="642" t="s">
        <v>789</v>
      </c>
      <c r="F80" s="580" t="s">
        <v>735</v>
      </c>
      <c r="G80" s="643"/>
      <c r="H80" s="932"/>
      <c r="I80" s="643"/>
      <c r="J80" s="932"/>
      <c r="K80" s="206"/>
    </row>
    <row r="81" spans="1:11" s="1814" customFormat="1" ht="11.25" customHeight="1">
      <c r="A81" s="2242"/>
      <c r="B81" s="436"/>
      <c r="D81" s="585" t="s">
        <v>302</v>
      </c>
      <c r="E81" s="642" t="s">
        <v>790</v>
      </c>
      <c r="F81" s="580" t="s">
        <v>735</v>
      </c>
      <c r="G81" s="643"/>
      <c r="H81" s="932"/>
      <c r="I81" s="643"/>
      <c r="J81" s="932"/>
      <c r="K81" s="206"/>
    </row>
    <row r="82" spans="1:11" s="1814" customFormat="1" ht="11.25" customHeight="1">
      <c r="A82" s="2242"/>
      <c r="B82" s="436"/>
      <c r="D82" s="585" t="s">
        <v>304</v>
      </c>
      <c r="E82" s="642" t="s">
        <v>791</v>
      </c>
      <c r="F82" s="580" t="s">
        <v>735</v>
      </c>
      <c r="G82" s="643"/>
      <c r="H82" s="932"/>
      <c r="I82" s="643"/>
      <c r="J82" s="932"/>
      <c r="K82" s="206"/>
    </row>
    <row r="83" spans="1:11" s="1814" customFormat="1" ht="11.25" customHeight="1">
      <c r="A83" s="2242"/>
      <c r="B83" s="436"/>
      <c r="D83" s="585" t="s">
        <v>306</v>
      </c>
      <c r="E83" s="642" t="s">
        <v>792</v>
      </c>
      <c r="F83" s="580" t="s">
        <v>735</v>
      </c>
      <c r="G83" s="643"/>
      <c r="H83" s="932"/>
      <c r="I83" s="643"/>
      <c r="J83" s="932"/>
      <c r="K83" s="206"/>
    </row>
    <row r="84" spans="1:11" s="1814" customFormat="1" ht="11.25" customHeight="1">
      <c r="A84" s="2242"/>
      <c r="B84" s="436"/>
      <c r="D84" s="585" t="s">
        <v>793</v>
      </c>
      <c r="E84" s="642" t="s">
        <v>794</v>
      </c>
      <c r="F84" s="580" t="s">
        <v>735</v>
      </c>
      <c r="G84" s="643"/>
      <c r="H84" s="932"/>
      <c r="I84" s="643"/>
      <c r="J84" s="932"/>
      <c r="K84" s="206"/>
    </row>
    <row r="85" spans="1:11" s="1814" customFormat="1" ht="11.25" customHeight="1">
      <c r="A85" s="2242"/>
      <c r="B85" s="436"/>
      <c r="D85" s="585" t="s">
        <v>795</v>
      </c>
      <c r="E85" s="642" t="s">
        <v>796</v>
      </c>
      <c r="F85" s="580" t="s">
        <v>735</v>
      </c>
      <c r="G85" s="643"/>
      <c r="H85" s="932"/>
      <c r="I85" s="643"/>
      <c r="J85" s="932"/>
      <c r="K85" s="206"/>
    </row>
    <row r="86" spans="1:11" s="1814" customFormat="1" ht="11.25" customHeight="1">
      <c r="A86" s="2242"/>
      <c r="B86" s="436"/>
      <c r="D86" s="585" t="s">
        <v>797</v>
      </c>
      <c r="E86" s="642" t="s">
        <v>798</v>
      </c>
      <c r="F86" s="580" t="s">
        <v>735</v>
      </c>
      <c r="G86" s="643"/>
      <c r="H86" s="932"/>
      <c r="I86" s="643"/>
      <c r="J86" s="932"/>
      <c r="K86" s="206"/>
    </row>
    <row r="87" spans="1:11" s="1814" customFormat="1" ht="45" customHeight="1">
      <c r="A87" s="2242"/>
      <c r="B87" s="436"/>
      <c r="D87" s="585" t="s">
        <v>76</v>
      </c>
      <c r="E87" s="586" t="s">
        <v>799</v>
      </c>
      <c r="F87" s="580" t="s">
        <v>735</v>
      </c>
      <c r="G87" s="643"/>
      <c r="H87" s="932"/>
      <c r="I87" s="643"/>
      <c r="J87" s="932"/>
      <c r="K87" s="206" t="s">
        <v>800</v>
      </c>
    </row>
    <row r="88" spans="1:11" s="1814" customFormat="1" ht="11.25" customHeight="1">
      <c r="A88" s="2242"/>
      <c r="B88" s="436"/>
      <c r="D88" s="585" t="s">
        <v>629</v>
      </c>
      <c r="E88" s="642" t="s">
        <v>789</v>
      </c>
      <c r="F88" s="580" t="s">
        <v>735</v>
      </c>
      <c r="G88" s="643"/>
      <c r="H88" s="932"/>
      <c r="I88" s="643"/>
      <c r="J88" s="932"/>
      <c r="K88" s="206"/>
    </row>
    <row r="89" spans="1:11" s="1814" customFormat="1" ht="11.25" customHeight="1">
      <c r="A89" s="2242"/>
      <c r="B89" s="436"/>
      <c r="D89" s="585" t="s">
        <v>672</v>
      </c>
      <c r="E89" s="642" t="s">
        <v>790</v>
      </c>
      <c r="F89" s="580" t="s">
        <v>735</v>
      </c>
      <c r="G89" s="643"/>
      <c r="H89" s="932"/>
      <c r="I89" s="643"/>
      <c r="J89" s="932"/>
      <c r="K89" s="206"/>
    </row>
    <row r="90" spans="1:11" s="1814" customFormat="1" ht="11.25" customHeight="1">
      <c r="A90" s="2242"/>
      <c r="B90" s="436"/>
      <c r="D90" s="585" t="s">
        <v>675</v>
      </c>
      <c r="E90" s="642" t="s">
        <v>791</v>
      </c>
      <c r="F90" s="580" t="s">
        <v>735</v>
      </c>
      <c r="G90" s="643"/>
      <c r="H90" s="932"/>
      <c r="I90" s="643"/>
      <c r="J90" s="932"/>
      <c r="K90" s="206"/>
    </row>
    <row r="91" spans="1:11" s="1814" customFormat="1" ht="11.25" customHeight="1">
      <c r="A91" s="2242"/>
      <c r="B91" s="436"/>
      <c r="D91" s="585" t="s">
        <v>753</v>
      </c>
      <c r="E91" s="642" t="s">
        <v>792</v>
      </c>
      <c r="F91" s="580" t="s">
        <v>735</v>
      </c>
      <c r="G91" s="643"/>
      <c r="H91" s="932"/>
      <c r="I91" s="643"/>
      <c r="J91" s="932"/>
      <c r="K91" s="206"/>
    </row>
    <row r="92" spans="1:11" s="1814" customFormat="1" ht="11.25" customHeight="1">
      <c r="A92" s="2242"/>
      <c r="B92" s="436"/>
      <c r="D92" s="585" t="s">
        <v>755</v>
      </c>
      <c r="E92" s="642" t="s">
        <v>794</v>
      </c>
      <c r="F92" s="580" t="s">
        <v>735</v>
      </c>
      <c r="G92" s="643"/>
      <c r="H92" s="932"/>
      <c r="I92" s="643"/>
      <c r="J92" s="932"/>
      <c r="K92" s="206"/>
    </row>
    <row r="93" spans="1:11" s="1814" customFormat="1" ht="11.25" customHeight="1">
      <c r="A93" s="2242"/>
      <c r="B93" s="436"/>
      <c r="D93" s="585" t="s">
        <v>801</v>
      </c>
      <c r="E93" s="642" t="s">
        <v>796</v>
      </c>
      <c r="F93" s="580" t="s">
        <v>735</v>
      </c>
      <c r="G93" s="643"/>
      <c r="H93" s="932"/>
      <c r="I93" s="643"/>
      <c r="J93" s="932"/>
      <c r="K93" s="206"/>
    </row>
    <row r="94" spans="1:11" s="1814" customFormat="1" ht="11.25" customHeight="1">
      <c r="A94" s="2242"/>
      <c r="B94" s="436"/>
      <c r="D94" s="585" t="s">
        <v>802</v>
      </c>
      <c r="E94" s="642" t="s">
        <v>798</v>
      </c>
      <c r="F94" s="580" t="s">
        <v>735</v>
      </c>
      <c r="G94" s="643"/>
      <c r="H94" s="932"/>
      <c r="I94" s="643"/>
      <c r="J94" s="932"/>
      <c r="K94" s="206"/>
    </row>
    <row r="95" spans="1:11" s="1814" customFormat="1" ht="24.75" customHeight="1">
      <c r="A95" s="2242"/>
      <c r="B95" s="436"/>
      <c r="D95" s="585" t="s">
        <v>93</v>
      </c>
      <c r="E95" s="586" t="s">
        <v>803</v>
      </c>
      <c r="F95" s="644" t="s">
        <v>520</v>
      </c>
      <c r="G95" s="646"/>
      <c r="H95" s="932"/>
      <c r="I95" s="646"/>
      <c r="J95" s="932"/>
      <c r="K95" s="206" t="s">
        <v>804</v>
      </c>
    </row>
    <row r="96" spans="1:11" s="1814" customFormat="1" ht="33.75" customHeight="1">
      <c r="A96" s="2242"/>
      <c r="B96" s="436"/>
      <c r="D96" s="585" t="s">
        <v>77</v>
      </c>
      <c r="E96" s="586" t="s">
        <v>805</v>
      </c>
      <c r="F96" s="645" t="s">
        <v>696</v>
      </c>
      <c r="G96" s="647"/>
      <c r="H96" s="932"/>
      <c r="I96" s="647"/>
      <c r="J96" s="932"/>
      <c r="K96" s="206"/>
    </row>
    <row r="97" spans="1:11" s="1814" customFormat="1" ht="22.5" customHeight="1">
      <c r="A97" s="2242"/>
      <c r="B97" s="436" t="s">
        <v>550</v>
      </c>
      <c r="D97" s="585" t="s">
        <v>78</v>
      </c>
      <c r="E97" s="586" t="s">
        <v>806</v>
      </c>
      <c r="F97" s="645" t="s">
        <v>274</v>
      </c>
      <c r="G97" s="318"/>
      <c r="H97" s="932"/>
      <c r="I97" s="318"/>
      <c r="J97" s="932"/>
      <c r="K97" s="206" t="s">
        <v>765</v>
      </c>
    </row>
    <row r="98" spans="1:11" s="1814" customFormat="1" ht="45" customHeight="1">
      <c r="A98" s="2242"/>
      <c r="B98" s="436" t="s">
        <v>550</v>
      </c>
      <c r="D98" s="585" t="s">
        <v>807</v>
      </c>
      <c r="E98" s="587" t="s">
        <v>808</v>
      </c>
      <c r="F98" s="640" t="s">
        <v>274</v>
      </c>
      <c r="G98" s="318"/>
      <c r="H98" s="932"/>
      <c r="I98" s="318"/>
      <c r="J98" s="932"/>
      <c r="K98" s="206" t="s">
        <v>765</v>
      </c>
    </row>
    <row r="99" spans="1:11" s="1814" customFormat="1" ht="95.25" customHeight="1">
      <c r="A99" s="2242"/>
      <c r="B99" s="436" t="s">
        <v>550</v>
      </c>
      <c r="D99" s="585" t="s">
        <v>94</v>
      </c>
      <c r="E99" s="586" t="s">
        <v>809</v>
      </c>
      <c r="F99" s="640" t="s">
        <v>274</v>
      </c>
      <c r="G99" s="318"/>
      <c r="H99" s="932"/>
      <c r="I99" s="318"/>
      <c r="J99" s="932"/>
      <c r="K99" s="206" t="s">
        <v>765</v>
      </c>
    </row>
    <row r="100" spans="1:11" s="1814" customFormat="1" ht="22.5" customHeight="1">
      <c r="A100" s="2242"/>
      <c r="B100" s="436" t="s">
        <v>550</v>
      </c>
      <c r="D100" s="585" t="s">
        <v>130</v>
      </c>
      <c r="E100" s="586" t="s">
        <v>810</v>
      </c>
      <c r="F100" s="640" t="s">
        <v>274</v>
      </c>
      <c r="G100" s="318"/>
      <c r="H100" s="932"/>
      <c r="I100" s="318"/>
      <c r="J100" s="932"/>
      <c r="K100" s="206" t="s">
        <v>765</v>
      </c>
    </row>
    <row r="101" spans="1:11" s="1816" customFormat="1" ht="11.25" customHeight="1">
      <c r="A101" s="942"/>
      <c r="B101" s="443"/>
      <c r="D101" s="943"/>
      <c r="E101" s="944"/>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U39"/>
  <sheetViews>
    <sheetView showGridLines="0" topLeftCell="C21" zoomScale="90" workbookViewId="0"/>
  </sheetViews>
  <sheetFormatPr defaultColWidth="10.5703125" defaultRowHeight="15" customHeight="1"/>
  <cols>
    <col min="1" max="1" width="9.140625" style="1871" hidden="1" customWidth="1"/>
    <col min="2" max="2" width="9.140625" style="1873" hidden="1" customWidth="1"/>
    <col min="3" max="3" width="4.7109375" style="1918" customWidth="1"/>
    <col min="4" max="4" width="6.28515625" style="1873" customWidth="1"/>
    <col min="5" max="5" width="36.7109375" style="1873" customWidth="1"/>
    <col min="6" max="6" width="9.5703125" style="1873" customWidth="1"/>
    <col min="7" max="7" width="25.7109375" style="1814" hidden="1" customWidth="1"/>
    <col min="8" max="8" width="33.7109375" style="1814" hidden="1" customWidth="1"/>
    <col min="9" max="9" width="25.7109375" style="1873" customWidth="1"/>
    <col min="10" max="10" width="33.7109375" style="1873" customWidth="1"/>
    <col min="11" max="11" width="93.42578125" style="1815" customWidth="1"/>
    <col min="12" max="20" width="10.5703125" style="1873"/>
    <col min="21" max="21" width="10.5703125" style="1917"/>
  </cols>
  <sheetData>
    <row r="1" spans="1:21" s="1815" customFormat="1" ht="15" hidden="1" customHeight="1">
      <c r="C1" s="592"/>
      <c r="G1" s="350">
        <v>4</v>
      </c>
      <c r="I1" s="350">
        <v>4</v>
      </c>
      <c r="U1" s="352"/>
    </row>
    <row r="2" spans="1:21" s="1815" customFormat="1" ht="15" hidden="1" customHeight="1">
      <c r="C2" s="592"/>
      <c r="U2" s="352"/>
    </row>
    <row r="3" spans="1:21" ht="22.5" hidden="1" customHeight="1">
      <c r="A3" s="430"/>
      <c r="B3" s="2243"/>
      <c r="C3" s="2244"/>
      <c r="D3" s="608" t="str">
        <f>B3&amp;".1"</f>
        <v>.1</v>
      </c>
      <c r="E3" s="609" t="s">
        <v>811</v>
      </c>
      <c r="F3" s="610" t="s">
        <v>274</v>
      </c>
      <c r="G3" s="605"/>
      <c r="H3" s="334"/>
      <c r="I3" s="605"/>
      <c r="J3" s="334"/>
      <c r="K3" s="206" t="s">
        <v>812</v>
      </c>
    </row>
    <row r="4" spans="1:21" ht="15" hidden="1" customHeight="1">
      <c r="A4" s="430"/>
      <c r="B4" s="2243"/>
      <c r="C4" s="2244"/>
      <c r="D4" s="608" t="str">
        <f>B3&amp;".2"</f>
        <v>.2</v>
      </c>
      <c r="E4" s="609" t="s">
        <v>813</v>
      </c>
      <c r="F4" s="610" t="s">
        <v>274</v>
      </c>
      <c r="G4" s="1650" t="s">
        <v>18</v>
      </c>
      <c r="H4" s="334"/>
      <c r="I4" s="1650" t="s">
        <v>18</v>
      </c>
      <c r="J4" s="334"/>
      <c r="K4" s="206" t="s">
        <v>814</v>
      </c>
    </row>
    <row r="5" spans="1:21" s="1815" customFormat="1" ht="15" hidden="1" customHeight="1">
      <c r="C5" s="592"/>
      <c r="U5" s="352"/>
    </row>
    <row r="6" spans="1:21" ht="22.5" hidden="1" customHeight="1">
      <c r="A6" s="430"/>
      <c r="B6" s="2243"/>
      <c r="C6" s="2244"/>
      <c r="D6" s="608" t="str">
        <f>B6&amp;".1"</f>
        <v>.1</v>
      </c>
      <c r="E6" s="609" t="s">
        <v>815</v>
      </c>
      <c r="F6" s="610" t="s">
        <v>274</v>
      </c>
      <c r="G6" s="605"/>
      <c r="H6" s="334"/>
      <c r="I6" s="605"/>
      <c r="J6" s="334"/>
      <c r="K6" s="206" t="s">
        <v>816</v>
      </c>
    </row>
    <row r="7" spans="1:21" ht="15" hidden="1" customHeight="1">
      <c r="A7" s="430"/>
      <c r="B7" s="2243"/>
      <c r="C7" s="2244"/>
      <c r="D7" s="608" t="str">
        <f>B6&amp;".2"</f>
        <v>.2</v>
      </c>
      <c r="E7" s="609" t="s">
        <v>813</v>
      </c>
      <c r="F7" s="610" t="s">
        <v>274</v>
      </c>
      <c r="G7" s="1650" t="s">
        <v>18</v>
      </c>
      <c r="H7" s="334"/>
      <c r="I7" s="1650" t="s">
        <v>18</v>
      </c>
      <c r="J7" s="334"/>
      <c r="K7" s="206" t="s">
        <v>814</v>
      </c>
    </row>
    <row r="8" spans="1:21" s="1815" customFormat="1" ht="15" hidden="1" customHeight="1">
      <c r="C8" s="592"/>
      <c r="U8" s="352"/>
    </row>
    <row r="9" spans="1:21" ht="22.5" hidden="1" customHeight="1">
      <c r="A9" s="430"/>
      <c r="B9" s="2243"/>
      <c r="C9" s="2244"/>
      <c r="D9" s="608" t="str">
        <f>B9&amp;".1"</f>
        <v>.1</v>
      </c>
      <c r="E9" s="609" t="s">
        <v>817</v>
      </c>
      <c r="F9" s="610" t="s">
        <v>274</v>
      </c>
      <c r="G9" s="616" t="s">
        <v>18</v>
      </c>
      <c r="H9" s="334" t="s">
        <v>18</v>
      </c>
      <c r="I9" s="616" t="s">
        <v>18</v>
      </c>
      <c r="J9" s="334" t="s">
        <v>18</v>
      </c>
      <c r="K9" s="206"/>
    </row>
    <row r="10" spans="1:21" ht="15" hidden="1" customHeight="1">
      <c r="A10" s="430"/>
      <c r="B10" s="2243"/>
      <c r="C10" s="2244"/>
      <c r="D10" s="608" t="str">
        <f>B9&amp;".2"</f>
        <v>.2</v>
      </c>
      <c r="E10" s="609" t="s">
        <v>818</v>
      </c>
      <c r="F10" s="610" t="s">
        <v>274</v>
      </c>
      <c r="G10" s="1644" t="s">
        <v>18</v>
      </c>
      <c r="H10" s="334" t="s">
        <v>18</v>
      </c>
      <c r="I10" s="1644" t="s">
        <v>18</v>
      </c>
      <c r="J10" s="334" t="s">
        <v>18</v>
      </c>
      <c r="K10" s="206" t="s">
        <v>819</v>
      </c>
    </row>
    <row r="11" spans="1:21" ht="15" hidden="1" customHeight="1">
      <c r="A11" s="430"/>
      <c r="B11" s="2243"/>
      <c r="C11" s="2244"/>
      <c r="D11" s="608" t="str">
        <f>B9&amp;".3"</f>
        <v>.3</v>
      </c>
      <c r="E11" s="609" t="s">
        <v>820</v>
      </c>
      <c r="F11" s="610" t="s">
        <v>274</v>
      </c>
      <c r="G11" s="1644" t="s">
        <v>18</v>
      </c>
      <c r="H11" s="334" t="s">
        <v>18</v>
      </c>
      <c r="I11" s="1644" t="s">
        <v>18</v>
      </c>
      <c r="J11" s="334" t="s">
        <v>18</v>
      </c>
      <c r="K11" s="206" t="s">
        <v>821</v>
      </c>
    </row>
    <row r="12" spans="1:21" s="1815" customFormat="1" ht="15" hidden="1" customHeight="1">
      <c r="C12" s="592"/>
      <c r="U12" s="352"/>
    </row>
    <row r="13" spans="1:21" ht="33.75" hidden="1" customHeight="1">
      <c r="A13" s="430"/>
      <c r="B13" s="2243"/>
      <c r="C13" s="2244"/>
      <c r="D13" s="608" t="str">
        <f>B13&amp;".1"</f>
        <v>.1</v>
      </c>
      <c r="E13" s="609" t="s">
        <v>822</v>
      </c>
      <c r="F13" s="610" t="s">
        <v>274</v>
      </c>
      <c r="G13" s="616" t="s">
        <v>18</v>
      </c>
      <c r="H13" s="334" t="s">
        <v>18</v>
      </c>
      <c r="I13" s="616" t="s">
        <v>18</v>
      </c>
      <c r="J13" s="334" t="s">
        <v>18</v>
      </c>
      <c r="K13" s="206" t="s">
        <v>823</v>
      </c>
    </row>
    <row r="14" spans="1:21" ht="15" hidden="1" customHeight="1">
      <c r="B14" s="2243"/>
      <c r="C14" s="2244"/>
      <c r="D14" s="608" t="str">
        <f>B13&amp;".2"</f>
        <v>.2</v>
      </c>
      <c r="E14" s="609" t="s">
        <v>824</v>
      </c>
      <c r="F14" s="610" t="s">
        <v>274</v>
      </c>
      <c r="G14" s="1644" t="s">
        <v>18</v>
      </c>
      <c r="H14" s="334" t="s">
        <v>18</v>
      </c>
      <c r="I14" s="1644" t="s">
        <v>18</v>
      </c>
      <c r="J14" s="334" t="s">
        <v>18</v>
      </c>
      <c r="K14" s="206" t="s">
        <v>825</v>
      </c>
    </row>
    <row r="15" spans="1:21" s="1815" customFormat="1" ht="15" hidden="1" customHeight="1">
      <c r="C15" s="592"/>
      <c r="U15" s="352"/>
    </row>
    <row r="16" spans="1:21" s="1815" customFormat="1" ht="15" hidden="1" customHeight="1">
      <c r="C16" s="592"/>
      <c r="U16" s="352"/>
    </row>
    <row r="17" spans="1:21" s="1815" customFormat="1" ht="15" hidden="1" customHeight="1">
      <c r="C17" s="592"/>
      <c r="U17" s="352"/>
    </row>
    <row r="18" spans="1:21" s="1815" customFormat="1" ht="15" hidden="1" customHeight="1">
      <c r="C18" s="592"/>
      <c r="U18" s="352"/>
    </row>
    <row r="19" spans="1:21" s="1815" customFormat="1" ht="15" hidden="1" customHeight="1">
      <c r="C19" s="592"/>
      <c r="U19" s="352"/>
    </row>
    <row r="20" spans="1:21" s="1815" customFormat="1" ht="15" hidden="1" customHeight="1">
      <c r="C20" s="592"/>
      <c r="U20" s="352"/>
    </row>
    <row r="21" spans="1:21" ht="15" customHeight="1">
      <c r="C21" s="97"/>
      <c r="D21" s="434"/>
      <c r="E21" s="434"/>
      <c r="F21" s="434"/>
      <c r="G21" s="434"/>
      <c r="H21" s="434"/>
      <c r="I21" s="434"/>
      <c r="J21" s="434"/>
    </row>
    <row r="22" spans="1:21" ht="22.5" customHeight="1">
      <c r="C22" s="97"/>
      <c r="D22" s="212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27"/>
      <c r="F22" s="2127"/>
      <c r="G22" s="2127"/>
      <c r="H22" s="2127"/>
      <c r="I22" s="2127"/>
      <c r="J22" s="596"/>
      <c r="K22" s="461"/>
    </row>
    <row r="23" spans="1:21" ht="15" customHeight="1">
      <c r="C23" s="97"/>
      <c r="D23" s="2098" t="str">
        <f>IF(org=0,"Не определено",org)</f>
        <v>ООО "Горводоканал"</v>
      </c>
      <c r="E23" s="2098"/>
      <c r="F23" s="2098"/>
      <c r="G23" s="2098"/>
      <c r="H23" s="2098"/>
      <c r="I23" s="2098"/>
      <c r="J23" s="596"/>
      <c r="K23" s="461"/>
    </row>
    <row r="24" spans="1:21" ht="15" customHeight="1">
      <c r="C24" s="97"/>
      <c r="D24" s="434"/>
      <c r="E24" s="434"/>
      <c r="F24" s="434"/>
      <c r="G24" s="461">
        <v>22</v>
      </c>
      <c r="H24" s="670"/>
      <c r="I24" s="461">
        <v>22</v>
      </c>
      <c r="J24" s="670"/>
    </row>
    <row r="25" spans="1:21" s="1814" customFormat="1" ht="0.75" customHeight="1">
      <c r="A25" s="677"/>
      <c r="C25" s="97"/>
      <c r="D25" s="434"/>
      <c r="E25" s="434"/>
      <c r="F25" s="434"/>
      <c r="G25" s="461"/>
      <c r="H25" s="670"/>
      <c r="I25" s="461" t="s">
        <v>99</v>
      </c>
      <c r="J25" s="670"/>
      <c r="K25" s="350"/>
      <c r="U25" s="595"/>
    </row>
    <row r="26" spans="1:21" ht="15" customHeight="1">
      <c r="C26" s="97"/>
      <c r="D26" s="629"/>
      <c r="E26" s="2224" t="s">
        <v>87</v>
      </c>
      <c r="F26" s="2225"/>
      <c r="G26" s="2245" t="str">
        <f>IF(G25="","",INDEX(DIFFERENTIATION_UNMERGE_VD,MATCH(G25,DIFFERENTIATION_ID_DIFF,0)))</f>
        <v/>
      </c>
      <c r="H26" s="2246"/>
      <c r="I26" s="2245">
        <f>IF(I25="","",INDEX(DIFFERENTIATION_UNMERGE_VD,MATCH(I25,DIFFERENTIATION_ID_DIFF,0)))</f>
        <v>0</v>
      </c>
      <c r="J26" s="2246"/>
      <c r="K26" s="2076" t="s">
        <v>269</v>
      </c>
    </row>
    <row r="27" spans="1:21" s="1814" customFormat="1" ht="15" customHeight="1">
      <c r="A27" s="677"/>
      <c r="C27" s="97"/>
      <c r="D27" s="629"/>
      <c r="E27" s="2224" t="s">
        <v>526</v>
      </c>
      <c r="F27" s="2225"/>
      <c r="G27" s="2245" t="str">
        <f>IF(G25="","",INDEX(DIFFERENTIATION_UNMERGE_AREA,MATCH(G25,DIFFERENTIATION_ID_DIFF,0)))</f>
        <v/>
      </c>
      <c r="H27" s="2246"/>
      <c r="I27" s="2245" t="str">
        <f>IF(I25="","",INDEX(DIFFERENTIATION_UNMERGE_AREA,MATCH(I25,DIFFERENTIATION_ID_DIFF,0)))</f>
        <v/>
      </c>
      <c r="J27" s="2246"/>
      <c r="K27" s="2080"/>
      <c r="U27" s="595"/>
    </row>
    <row r="28" spans="1:21" s="1814" customFormat="1" ht="15" customHeight="1">
      <c r="A28" s="677"/>
      <c r="C28" s="97"/>
      <c r="D28" s="629"/>
      <c r="E28" s="2224" t="s">
        <v>527</v>
      </c>
      <c r="F28" s="2225"/>
      <c r="G28" s="2245" t="str">
        <f>IF(G25="","",INDEX(DIFFERENTIATION_UNMERGE_SYSTEM,MATCH(G25,DIFFERENTIATION_ID_DIFF,0)))</f>
        <v/>
      </c>
      <c r="H28" s="2246"/>
      <c r="I28" s="2245" t="str">
        <f>IF(I25="","",INDEX(DIFFERENTIATION_UNMERGE_SYSTEM,MATCH(I25,DIFFERENTIATION_ID_DIFF,0)))</f>
        <v>без дифференциации</v>
      </c>
      <c r="J28" s="2246"/>
      <c r="K28" s="2080"/>
      <c r="U28" s="595"/>
    </row>
    <row r="29" spans="1:21" s="1814" customFormat="1" ht="15" customHeight="1">
      <c r="A29" s="677"/>
      <c r="C29" s="97"/>
      <c r="D29" s="2226" t="s">
        <v>268</v>
      </c>
      <c r="E29" s="2227"/>
      <c r="F29" s="2227"/>
      <c r="G29" s="801"/>
      <c r="H29" s="801"/>
      <c r="I29" s="801"/>
      <c r="J29" s="802"/>
      <c r="K29" s="2080"/>
      <c r="U29" s="595"/>
    </row>
    <row r="30" spans="1:21" ht="33.75" customHeight="1">
      <c r="C30" s="97"/>
      <c r="D30" s="679" t="s">
        <v>73</v>
      </c>
      <c r="E30" s="678" t="s">
        <v>270</v>
      </c>
      <c r="F30" s="678" t="s">
        <v>528</v>
      </c>
      <c r="G30" s="726" t="s">
        <v>271</v>
      </c>
      <c r="H30" s="725" t="s">
        <v>360</v>
      </c>
      <c r="I30" s="603" t="s">
        <v>271</v>
      </c>
      <c r="J30" s="391" t="s">
        <v>360</v>
      </c>
      <c r="K30" s="2083"/>
    </row>
    <row r="31" spans="1:21" ht="15" hidden="1" customHeight="1">
      <c r="C31" s="97"/>
      <c r="D31" s="515"/>
      <c r="E31" s="515"/>
      <c r="F31" s="515"/>
      <c r="G31" s="579"/>
      <c r="H31" s="579"/>
      <c r="I31" s="579"/>
      <c r="J31" s="579"/>
      <c r="K31" s="206"/>
    </row>
    <row r="32" spans="1:21" ht="22.5" customHeight="1">
      <c r="A32" s="430"/>
      <c r="B32" s="430" t="s">
        <v>826</v>
      </c>
      <c r="C32" s="451"/>
      <c r="D32" s="611">
        <v>1</v>
      </c>
      <c r="E32" s="612" t="s">
        <v>827</v>
      </c>
      <c r="F32" s="610" t="s">
        <v>274</v>
      </c>
      <c r="G32" s="731" t="s">
        <v>274</v>
      </c>
      <c r="H32" s="731" t="s">
        <v>274</v>
      </c>
      <c r="I32" s="610" t="s">
        <v>274</v>
      </c>
      <c r="J32" s="610" t="s">
        <v>274</v>
      </c>
      <c r="K32" s="206"/>
    </row>
    <row r="33" spans="1:21" ht="11.25" customHeight="1">
      <c r="A33" s="430"/>
      <c r="C33" s="430"/>
      <c r="D33" s="271"/>
      <c r="E33" s="504" t="s">
        <v>548</v>
      </c>
      <c r="F33" s="496"/>
      <c r="G33" s="496"/>
      <c r="H33" s="496"/>
      <c r="I33" s="496"/>
      <c r="J33" s="496"/>
      <c r="K33" s="497"/>
      <c r="U33" s="430"/>
    </row>
    <row r="34" spans="1:21" ht="22.5" customHeight="1">
      <c r="A34" s="430"/>
      <c r="B34" s="505" t="s">
        <v>828</v>
      </c>
      <c r="C34" s="451"/>
      <c r="D34" s="611">
        <v>2</v>
      </c>
      <c r="E34" s="612" t="s">
        <v>829</v>
      </c>
      <c r="F34" s="738" t="s">
        <v>274</v>
      </c>
      <c r="G34" s="738" t="s">
        <v>274</v>
      </c>
      <c r="H34" s="738" t="s">
        <v>274</v>
      </c>
      <c r="I34" s="610"/>
      <c r="J34" s="610"/>
      <c r="K34" s="206"/>
    </row>
    <row r="35" spans="1:21" ht="11.25" customHeight="1">
      <c r="A35" s="430"/>
      <c r="C35" s="430"/>
      <c r="D35" s="271"/>
      <c r="E35" s="504" t="s">
        <v>830</v>
      </c>
      <c r="F35" s="496"/>
      <c r="G35" s="613"/>
      <c r="H35" s="496"/>
      <c r="I35" s="613"/>
      <c r="J35" s="496"/>
      <c r="K35" s="497"/>
      <c r="U35" s="430"/>
    </row>
    <row r="36" spans="1:21" ht="67.5" customHeight="1">
      <c r="A36" s="430"/>
      <c r="B36" s="430" t="s">
        <v>831</v>
      </c>
      <c r="C36" s="451"/>
      <c r="D36" s="611">
        <v>3</v>
      </c>
      <c r="E36" s="612" t="s">
        <v>832</v>
      </c>
      <c r="F36" s="614" t="s">
        <v>274</v>
      </c>
      <c r="G36" s="732" t="s">
        <v>833</v>
      </c>
      <c r="H36" s="731" t="s">
        <v>274</v>
      </c>
      <c r="I36" s="449" t="s">
        <v>833</v>
      </c>
      <c r="J36" s="610" t="s">
        <v>274</v>
      </c>
      <c r="K36" s="206" t="s">
        <v>834</v>
      </c>
    </row>
    <row r="37" spans="1:21" ht="11.25" customHeight="1">
      <c r="A37" s="430"/>
      <c r="C37" s="430"/>
      <c r="D37" s="271"/>
      <c r="E37" s="504" t="s">
        <v>835</v>
      </c>
      <c r="F37" s="496"/>
      <c r="G37" s="613"/>
      <c r="H37" s="613"/>
      <c r="I37" s="613"/>
      <c r="J37" s="613"/>
      <c r="K37" s="497"/>
      <c r="U37" s="430"/>
    </row>
    <row r="38" spans="1:21" ht="67.5" customHeight="1">
      <c r="A38" s="430"/>
      <c r="B38" s="430" t="s">
        <v>836</v>
      </c>
      <c r="C38" s="451"/>
      <c r="D38" s="611">
        <v>4</v>
      </c>
      <c r="E38" s="612" t="s">
        <v>837</v>
      </c>
      <c r="F38" s="614" t="s">
        <v>274</v>
      </c>
      <c r="G38" s="732" t="s">
        <v>833</v>
      </c>
      <c r="H38" s="733" t="s">
        <v>274</v>
      </c>
      <c r="I38" s="449" t="s">
        <v>833</v>
      </c>
      <c r="J38" s="446" t="s">
        <v>274</v>
      </c>
      <c r="K38" s="599" t="s">
        <v>838</v>
      </c>
    </row>
    <row r="39" spans="1:21" ht="11.25" customHeight="1">
      <c r="A39" s="430"/>
      <c r="C39" s="430"/>
      <c r="D39" s="271"/>
      <c r="E39" s="504" t="s">
        <v>839</v>
      </c>
      <c r="F39" s="496"/>
      <c r="G39" s="496"/>
      <c r="H39" s="615"/>
      <c r="I39" s="496"/>
      <c r="J39" s="615"/>
      <c r="K39" s="497"/>
      <c r="U39" s="430"/>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D15"/>
  <sheetViews>
    <sheetView showGridLines="0" topLeftCell="E4" zoomScale="85" workbookViewId="0"/>
  </sheetViews>
  <sheetFormatPr defaultColWidth="9.140625" defaultRowHeight="10.5" customHeight="1"/>
  <cols>
    <col min="1" max="3" width="6.7109375" style="1919" hidden="1" customWidth="1"/>
    <col min="4" max="4" width="6.7109375" style="1815" hidden="1" customWidth="1"/>
    <col min="5" max="5" width="3.7109375" style="1816" customWidth="1"/>
    <col min="6" max="6" width="6.28515625" style="1814" customWidth="1"/>
    <col min="7" max="7" width="37.7109375" style="1814" customWidth="1"/>
    <col min="8" max="8" width="16.5703125" style="1856" customWidth="1"/>
    <col min="9" max="10" width="19.7109375" style="1814" customWidth="1"/>
    <col min="11" max="11" width="25" style="1814" customWidth="1"/>
    <col min="12" max="13" width="25.7109375" style="1814" customWidth="1"/>
    <col min="14" max="16" width="17.7109375" style="1814" customWidth="1"/>
    <col min="17" max="24" width="19.7109375" style="1814" customWidth="1"/>
    <col min="25" max="25" width="8" style="1814" customWidth="1"/>
    <col min="26" max="26" width="3.28515625" style="1814" customWidth="1"/>
    <col min="27" max="27" width="6.28515625" style="1814" customWidth="1"/>
    <col min="28" max="28" width="34.140625" style="1814" customWidth="1"/>
    <col min="29" max="30" width="9.140625" style="1814"/>
  </cols>
  <sheetData>
    <row r="1" spans="1:30" s="1815" customFormat="1" ht="10.5" hidden="1" customHeight="1">
      <c r="A1" s="810"/>
      <c r="B1" s="810"/>
      <c r="C1" s="810"/>
      <c r="E1" s="461"/>
      <c r="H1" s="1062"/>
    </row>
    <row r="2" spans="1:30" ht="10.5" hidden="1" customHeight="1"/>
    <row r="3" spans="1:30" s="1867" customFormat="1" ht="10.5" hidden="1" customHeight="1">
      <c r="A3" s="810"/>
      <c r="B3" s="810"/>
      <c r="C3" s="810"/>
      <c r="D3" s="350"/>
      <c r="E3" s="288"/>
      <c r="H3" s="1058"/>
    </row>
    <row r="4" spans="1:30" ht="3" customHeight="1"/>
    <row r="5" spans="1:30" ht="25.5" customHeight="1">
      <c r="F5" s="2127" t="str">
        <f>IP_NAME_FORM</f>
        <v>Форма 7. Информация об инвестиционных программах организации водоотведения и отчетах об их исполнении</v>
      </c>
      <c r="G5" s="2127"/>
      <c r="H5" s="2127"/>
      <c r="I5" s="2127"/>
      <c r="J5" s="2127"/>
      <c r="K5" s="2127"/>
      <c r="M5" s="506"/>
      <c r="AB5" s="821"/>
    </row>
    <row r="6" spans="1:30" s="1859" customFormat="1" ht="15.75" customHeight="1">
      <c r="A6" s="1068"/>
      <c r="B6" s="1068"/>
      <c r="C6" s="1068"/>
      <c r="D6" s="1062"/>
      <c r="E6" s="1549"/>
      <c r="F6" s="2098" t="str">
        <f>IF(org=0,"Не определено",org)</f>
        <v>ООО "Горводоканал"</v>
      </c>
      <c r="G6" s="2098"/>
      <c r="H6" s="2098"/>
      <c r="I6" s="2098"/>
      <c r="J6" s="2098"/>
      <c r="K6" s="2098"/>
      <c r="M6" s="506"/>
      <c r="AB6" s="1050"/>
    </row>
    <row r="8" spans="1:30" ht="10.5" customHeight="1">
      <c r="A8" s="960"/>
      <c r="B8" s="960"/>
      <c r="C8" s="960"/>
      <c r="F8" s="2001" t="s">
        <v>268</v>
      </c>
      <c r="G8" s="2006"/>
      <c r="H8" s="2006"/>
      <c r="I8" s="2006"/>
      <c r="J8" s="2006"/>
      <c r="K8" s="2006"/>
      <c r="L8" s="2006"/>
      <c r="M8" s="2006"/>
      <c r="N8" s="2006"/>
      <c r="O8" s="2006"/>
      <c r="P8" s="2006"/>
      <c r="Q8" s="2006"/>
      <c r="R8" s="2006"/>
      <c r="S8" s="2006"/>
      <c r="T8" s="2006"/>
      <c r="U8" s="2006"/>
      <c r="V8" s="2006"/>
      <c r="W8" s="2006"/>
      <c r="X8" s="2006"/>
      <c r="Y8" s="2006"/>
      <c r="Z8" s="2006"/>
      <c r="AA8" s="2006"/>
      <c r="AB8" s="2000"/>
    </row>
    <row r="9" spans="1:30" ht="41.25" customHeight="1">
      <c r="A9" s="820"/>
      <c r="B9" s="820"/>
      <c r="C9" s="820"/>
      <c r="F9" s="2019" t="s">
        <v>73</v>
      </c>
      <c r="G9" s="2019" t="s">
        <v>840</v>
      </c>
      <c r="H9" s="2076" t="s">
        <v>841</v>
      </c>
      <c r="I9" s="2019" t="s">
        <v>842</v>
      </c>
      <c r="J9" s="2019" t="s">
        <v>843</v>
      </c>
      <c r="K9" s="2019" t="s">
        <v>844</v>
      </c>
      <c r="L9" s="2019" t="s">
        <v>845</v>
      </c>
      <c r="M9" s="2019" t="s">
        <v>846</v>
      </c>
      <c r="N9" s="2107" t="s">
        <v>847</v>
      </c>
      <c r="O9" s="2107"/>
      <c r="P9" s="2107"/>
      <c r="Q9" s="2160" t="s">
        <v>848</v>
      </c>
      <c r="R9" s="2161"/>
      <c r="S9" s="2161"/>
      <c r="T9" s="2162"/>
      <c r="U9" s="2160" t="s">
        <v>849</v>
      </c>
      <c r="V9" s="2161"/>
      <c r="W9" s="2161"/>
      <c r="X9" s="2162"/>
      <c r="Y9" s="2001" t="s">
        <v>850</v>
      </c>
      <c r="Z9" s="2006"/>
      <c r="AA9" s="2006"/>
      <c r="AB9" s="2000"/>
    </row>
    <row r="10" spans="1:30" ht="41.25" customHeight="1">
      <c r="A10" s="820"/>
      <c r="B10" s="820"/>
      <c r="C10" s="820"/>
      <c r="F10" s="2076"/>
      <c r="G10" s="2076"/>
      <c r="H10" s="2132"/>
      <c r="I10" s="2076"/>
      <c r="J10" s="2076"/>
      <c r="K10" s="2076"/>
      <c r="L10" s="2076"/>
      <c r="M10" s="2076"/>
      <c r="N10" s="818" t="s">
        <v>851</v>
      </c>
      <c r="O10" s="818" t="s">
        <v>852</v>
      </c>
      <c r="P10" s="819" t="s">
        <v>853</v>
      </c>
      <c r="Q10" s="830" t="s">
        <v>74</v>
      </c>
      <c r="R10" s="830" t="s">
        <v>854</v>
      </c>
      <c r="S10" s="830" t="s">
        <v>855</v>
      </c>
      <c r="T10" s="831" t="s">
        <v>856</v>
      </c>
      <c r="U10" s="830" t="s">
        <v>74</v>
      </c>
      <c r="V10" s="830" t="s">
        <v>857</v>
      </c>
      <c r="W10" s="830" t="s">
        <v>855</v>
      </c>
      <c r="X10" s="831" t="s">
        <v>856</v>
      </c>
      <c r="Y10" s="218" t="s">
        <v>858</v>
      </c>
      <c r="Z10" s="2001" t="s">
        <v>73</v>
      </c>
      <c r="AA10" s="2000"/>
      <c r="AB10" s="958" t="s">
        <v>859</v>
      </c>
    </row>
    <row r="11" spans="1:30" s="1811" customFormat="1" ht="5.25" hidden="1" customHeight="1">
      <c r="A11" s="961"/>
      <c r="B11" s="961"/>
      <c r="C11" s="961"/>
      <c r="E11" s="959"/>
      <c r="F11" s="2249" t="s">
        <v>346</v>
      </c>
      <c r="G11" s="2251"/>
      <c r="H11" s="2247"/>
      <c r="I11" s="2247"/>
      <c r="J11" s="2247"/>
      <c r="K11" s="2250"/>
      <c r="L11" s="2250"/>
      <c r="M11" s="2250"/>
      <c r="N11" s="2247"/>
      <c r="O11" s="2247"/>
      <c r="P11" s="2019"/>
      <c r="Q11" s="2086"/>
      <c r="R11" s="2086"/>
      <c r="S11" s="2086"/>
      <c r="T11" s="2247"/>
      <c r="U11" s="2086"/>
      <c r="V11" s="2086"/>
      <c r="W11" s="2086"/>
      <c r="X11" s="2247"/>
      <c r="Y11" s="2030"/>
      <c r="Z11" s="2030"/>
      <c r="AA11" s="2030"/>
      <c r="AB11" s="2030"/>
      <c r="AD11" s="436" t="s">
        <v>860</v>
      </c>
    </row>
    <row r="12" spans="1:30" s="1811" customFormat="1" ht="5.25" hidden="1" customHeight="1">
      <c r="A12" s="811"/>
      <c r="B12" s="811"/>
      <c r="C12" s="811"/>
      <c r="E12" s="443"/>
      <c r="F12" s="2249"/>
      <c r="G12" s="2251"/>
      <c r="H12" s="2247"/>
      <c r="I12" s="2247"/>
      <c r="J12" s="2247"/>
      <c r="K12" s="2250"/>
      <c r="L12" s="2250"/>
      <c r="M12" s="2250"/>
      <c r="N12" s="2247"/>
      <c r="O12" s="2247"/>
      <c r="P12" s="2019"/>
      <c r="Q12" s="2086"/>
      <c r="R12" s="2086"/>
      <c r="S12" s="2086"/>
      <c r="T12" s="2247"/>
      <c r="U12" s="2086"/>
      <c r="V12" s="2086"/>
      <c r="W12" s="2086"/>
      <c r="X12" s="2247"/>
      <c r="Y12" s="2248"/>
      <c r="Z12" s="2248"/>
      <c r="AA12" s="2248"/>
      <c r="AB12" s="2248"/>
    </row>
    <row r="13" spans="1:30" ht="10.5" customHeight="1">
      <c r="F13" s="817"/>
      <c r="G13" s="570" t="s">
        <v>861</v>
      </c>
      <c r="H13" s="1070"/>
      <c r="I13" s="496"/>
      <c r="J13" s="496"/>
      <c r="K13" s="496"/>
      <c r="L13" s="496"/>
      <c r="M13" s="496"/>
      <c r="N13" s="496"/>
      <c r="O13" s="496"/>
      <c r="P13" s="496"/>
      <c r="Q13" s="496"/>
      <c r="R13" s="496"/>
      <c r="S13" s="496"/>
      <c r="T13" s="496"/>
      <c r="U13" s="496"/>
      <c r="V13" s="496"/>
      <c r="W13" s="496"/>
      <c r="X13" s="496"/>
      <c r="Y13" s="496"/>
      <c r="Z13" s="615"/>
      <c r="AA13" s="615"/>
      <c r="AB13" s="832"/>
    </row>
    <row r="15" spans="1:30" s="1811" customFormat="1" ht="10.5" customHeight="1">
      <c r="A15" s="1069"/>
      <c r="B15" s="1069"/>
      <c r="C15" s="1069"/>
      <c r="E15" s="443"/>
      <c r="H15" s="436">
        <f>IFERROR(MATCH("нет",IP_MAIN_DIFFERENTIATION_EVENTS_FLAG,0),0)</f>
        <v>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F19"/>
  <sheetViews>
    <sheetView showGridLines="0" topLeftCell="E4" zoomScale="90" workbookViewId="0"/>
  </sheetViews>
  <sheetFormatPr defaultColWidth="9.140625" defaultRowHeight="10.5" customHeight="1"/>
  <cols>
    <col min="1" max="3" width="4.140625" style="1919" hidden="1" customWidth="1"/>
    <col min="4" max="4" width="4.140625" style="1815" hidden="1" customWidth="1"/>
    <col min="5" max="5" width="3.7109375" style="1816" customWidth="1"/>
    <col min="6" max="6" width="14.42578125" style="1814" customWidth="1"/>
    <col min="7" max="7" width="3.7109375" style="1814" customWidth="1"/>
    <col min="8" max="8" width="7.7109375" style="1856" customWidth="1"/>
    <col min="9" max="10" width="16.7109375" style="1814" customWidth="1"/>
    <col min="11" max="11" width="25.7109375" style="1814" customWidth="1"/>
    <col min="12" max="12" width="8" style="1921" customWidth="1"/>
    <col min="13" max="13" width="15.5703125" style="1921" customWidth="1"/>
    <col min="14" max="14" width="3.28515625" style="1814" customWidth="1"/>
    <col min="15" max="15" width="4.7109375" style="1814" customWidth="1"/>
    <col min="16" max="16" width="9" style="1814" customWidth="1"/>
    <col min="17" max="17" width="21.7109375" style="1814" customWidth="1"/>
    <col min="18" max="18" width="14.7109375" style="1814" customWidth="1"/>
    <col min="19" max="20" width="17.7109375" style="1814" customWidth="1"/>
    <col min="21" max="21" width="9.7109375" style="1814" customWidth="1"/>
    <col min="22" max="22" width="12.7109375" style="1814" customWidth="1"/>
    <col min="23" max="23" width="9.7109375" style="1814" customWidth="1"/>
    <col min="24" max="24" width="21.7109375" style="1814" customWidth="1"/>
    <col min="25" max="25" width="12.7109375" style="1814" customWidth="1"/>
    <col min="26" max="26" width="3.28515625" style="1814" customWidth="1"/>
    <col min="27" max="27" width="7.140625" style="1814" customWidth="1"/>
    <col min="28" max="28" width="38.42578125" style="1814" customWidth="1"/>
    <col min="29" max="29" width="15.7109375" style="1814" customWidth="1"/>
    <col min="30" max="30" width="37.5703125" style="1921" customWidth="1"/>
    <col min="31" max="31" width="15.7109375" style="1814" customWidth="1"/>
    <col min="32" max="33" width="16.7109375" style="1814" customWidth="1"/>
    <col min="34" max="34" width="16.7109375" style="1922" customWidth="1"/>
    <col min="35" max="35" width="16.7109375" style="1923" customWidth="1"/>
    <col min="36" max="37" width="16.7109375" style="1814" customWidth="1"/>
    <col min="38" max="58" width="9.140625" style="1814"/>
  </cols>
  <sheetData>
    <row r="1" spans="1:58" s="1815" customFormat="1" ht="10.5" hidden="1" customHeight="1">
      <c r="A1" s="810"/>
      <c r="B1" s="810"/>
      <c r="C1" s="810"/>
      <c r="E1" s="461"/>
      <c r="H1" s="1062"/>
      <c r="L1" s="1032"/>
      <c r="M1" s="1032"/>
      <c r="AD1" s="1032"/>
      <c r="AH1" s="1049"/>
      <c r="AI1" s="1043"/>
    </row>
    <row r="2" spans="1:58" ht="10.5" hidden="1" customHeight="1"/>
    <row r="3" spans="1:58" s="1867" customFormat="1" ht="10.5" hidden="1" customHeight="1">
      <c r="A3" s="810"/>
      <c r="B3" s="810"/>
      <c r="C3" s="810"/>
      <c r="D3" s="350"/>
      <c r="E3" s="288"/>
      <c r="H3" s="1058"/>
      <c r="L3" s="1030"/>
      <c r="M3" s="1030"/>
      <c r="AD3" s="1030"/>
      <c r="AH3" s="1047"/>
      <c r="AI3" s="1041"/>
    </row>
    <row r="4" spans="1:58" ht="3" customHeight="1"/>
    <row r="5" spans="1:58" ht="25.5" customHeight="1">
      <c r="F5" s="2127" t="str">
        <f>IP_NAME_FORM</f>
        <v>Форма 7. Информация об инвестиционных программах организации водоотведения и отчетах об их исполнении</v>
      </c>
      <c r="G5" s="2127"/>
      <c r="H5" s="2127"/>
      <c r="I5" s="2127"/>
      <c r="J5" s="2127"/>
      <c r="K5" s="2127"/>
      <c r="L5" s="1039"/>
      <c r="M5" s="1039"/>
      <c r="AG5" s="821"/>
      <c r="AH5" s="1050"/>
    </row>
    <row r="6" spans="1:58" ht="10.5" customHeight="1">
      <c r="F6" s="2098" t="str">
        <f>IF(org=0,"Не определено",org)</f>
        <v>ООО "Горводоканал"</v>
      </c>
      <c r="G6" s="2098"/>
      <c r="H6" s="2098"/>
      <c r="I6" s="2098"/>
      <c r="J6" s="2098"/>
      <c r="K6" s="2098"/>
      <c r="L6" s="1040"/>
      <c r="M6" s="1040"/>
    </row>
    <row r="7" spans="1:58" ht="11.25" customHeight="1">
      <c r="E7" s="823"/>
      <c r="F7" s="834"/>
      <c r="G7" s="834"/>
      <c r="H7" s="1088"/>
      <c r="I7" s="834"/>
      <c r="J7" s="834"/>
      <c r="K7" s="836"/>
      <c r="L7" s="1037"/>
      <c r="M7" s="1037"/>
      <c r="N7" s="834"/>
      <c r="O7" s="834"/>
      <c r="P7" s="834"/>
      <c r="Q7" s="836"/>
      <c r="R7" s="834"/>
      <c r="S7" s="834"/>
      <c r="T7" s="834"/>
      <c r="U7" s="834"/>
      <c r="V7" s="834"/>
      <c r="W7" s="834"/>
      <c r="X7" s="834"/>
      <c r="Y7" s="834"/>
      <c r="Z7" s="834"/>
      <c r="AA7" s="834"/>
      <c r="AB7" s="834"/>
      <c r="AC7" s="835"/>
      <c r="AD7" s="1036"/>
      <c r="AE7" s="835"/>
      <c r="AF7" s="834"/>
      <c r="AG7" s="834"/>
      <c r="AH7" s="1052"/>
      <c r="AI7" s="1046"/>
      <c r="AJ7" s="834"/>
      <c r="AK7" s="834"/>
      <c r="AL7" s="825"/>
      <c r="AM7" s="825"/>
      <c r="AN7" s="825"/>
      <c r="AO7" s="822"/>
      <c r="AP7" s="822"/>
      <c r="AQ7" s="822"/>
      <c r="AR7" s="822"/>
      <c r="AS7" s="822"/>
      <c r="AT7" s="822"/>
      <c r="AU7" s="822"/>
      <c r="AV7" s="822"/>
      <c r="AW7" s="822"/>
      <c r="AX7" s="822"/>
      <c r="AY7" s="822"/>
      <c r="AZ7" s="822"/>
      <c r="BA7" s="822"/>
      <c r="BB7" s="822"/>
      <c r="BC7" s="822"/>
      <c r="BD7" s="822"/>
      <c r="BE7" s="822"/>
      <c r="BF7" s="822"/>
    </row>
    <row r="8" spans="1:58" ht="10.5" customHeight="1">
      <c r="E8" s="823"/>
      <c r="F8" s="2255" t="s">
        <v>268</v>
      </c>
      <c r="G8" s="2256"/>
      <c r="H8" s="2256"/>
      <c r="I8" s="2256"/>
      <c r="J8" s="2256"/>
      <c r="K8" s="2256"/>
      <c r="L8" s="2256"/>
      <c r="M8" s="2256"/>
      <c r="N8" s="2256"/>
      <c r="O8" s="2256"/>
      <c r="P8" s="2256"/>
      <c r="Q8" s="2256"/>
      <c r="R8" s="2256"/>
      <c r="S8" s="2256"/>
      <c r="T8" s="2256"/>
      <c r="U8" s="2256"/>
      <c r="V8" s="2256"/>
      <c r="W8" s="2256"/>
      <c r="X8" s="2256"/>
      <c r="Y8" s="2256"/>
      <c r="Z8" s="2256"/>
      <c r="AA8" s="2256"/>
      <c r="AB8" s="2256"/>
      <c r="AC8" s="2256"/>
      <c r="AD8" s="2256"/>
      <c r="AE8" s="2256"/>
      <c r="AF8" s="2256"/>
      <c r="AG8" s="2256"/>
      <c r="AH8" s="2256"/>
      <c r="AI8" s="2256"/>
      <c r="AJ8" s="2256"/>
      <c r="AK8" s="2257"/>
      <c r="AL8" s="824"/>
      <c r="AM8" s="822"/>
      <c r="AN8" s="822"/>
      <c r="AO8" s="822"/>
      <c r="AP8" s="822"/>
      <c r="AQ8" s="822"/>
      <c r="AR8" s="822"/>
      <c r="AS8" s="822"/>
      <c r="AT8" s="822"/>
      <c r="AU8" s="822"/>
      <c r="AV8" s="822"/>
      <c r="AW8" s="822"/>
      <c r="AX8" s="822"/>
      <c r="AY8" s="822"/>
      <c r="AZ8" s="822"/>
      <c r="BA8" s="822"/>
      <c r="BB8" s="822"/>
      <c r="BC8" s="822"/>
      <c r="BD8" s="822"/>
      <c r="BE8" s="822"/>
      <c r="BF8" s="822"/>
    </row>
    <row r="9" spans="1:58" ht="23.25" customHeight="1">
      <c r="A9" s="820"/>
      <c r="B9" s="820"/>
      <c r="C9" s="820"/>
      <c r="E9" s="823"/>
      <c r="F9" s="2107" t="s">
        <v>862</v>
      </c>
      <c r="G9" s="2201" t="s">
        <v>863</v>
      </c>
      <c r="H9" s="2253"/>
      <c r="I9" s="2019" t="s">
        <v>864</v>
      </c>
      <c r="J9" s="2019"/>
      <c r="K9" s="2019" t="s">
        <v>865</v>
      </c>
      <c r="L9" s="2019"/>
      <c r="M9" s="2019"/>
      <c r="N9" s="2019"/>
      <c r="O9" s="2019"/>
      <c r="P9" s="2019"/>
      <c r="Q9" s="2019"/>
      <c r="R9" s="2019"/>
      <c r="S9" s="2019"/>
      <c r="T9" s="2019"/>
      <c r="U9" s="2019"/>
      <c r="V9" s="2019"/>
      <c r="W9" s="2019"/>
      <c r="X9" s="2019"/>
      <c r="Y9" s="2019"/>
      <c r="Z9" s="2077" t="s">
        <v>866</v>
      </c>
      <c r="AA9" s="2078"/>
      <c r="AB9" s="2019" t="s">
        <v>867</v>
      </c>
      <c r="AC9" s="2019"/>
      <c r="AD9" s="2019"/>
      <c r="AE9" s="2019"/>
      <c r="AF9" s="2076" t="s">
        <v>868</v>
      </c>
      <c r="AG9" s="2019" t="s">
        <v>869</v>
      </c>
      <c r="AH9" s="2019"/>
      <c r="AI9" s="2076" t="s">
        <v>870</v>
      </c>
      <c r="AJ9" s="2019" t="s">
        <v>871</v>
      </c>
      <c r="AK9" s="2019"/>
      <c r="AL9" s="1045"/>
      <c r="AM9" s="822"/>
      <c r="AN9" s="822"/>
      <c r="AO9" s="822"/>
      <c r="AP9" s="822"/>
      <c r="AQ9" s="822"/>
      <c r="AR9" s="822"/>
      <c r="AS9" s="822"/>
      <c r="AT9" s="822"/>
      <c r="AU9" s="822"/>
      <c r="AV9" s="822"/>
      <c r="AW9" s="822"/>
      <c r="AX9" s="822"/>
      <c r="AY9" s="822"/>
      <c r="AZ9" s="822"/>
      <c r="BA9" s="822"/>
      <c r="BB9" s="822"/>
      <c r="BC9" s="822"/>
      <c r="BD9" s="822"/>
      <c r="BE9" s="822"/>
      <c r="BF9" s="822"/>
    </row>
    <row r="10" spans="1:58" ht="23.25" customHeight="1">
      <c r="A10" s="820"/>
      <c r="B10" s="820"/>
      <c r="C10" s="820"/>
      <c r="E10" s="827"/>
      <c r="F10" s="2107"/>
      <c r="G10" s="2202"/>
      <c r="H10" s="2108"/>
      <c r="I10" s="2019"/>
      <c r="J10" s="2019"/>
      <c r="K10" s="2019" t="s">
        <v>872</v>
      </c>
      <c r="L10" s="2001" t="s">
        <v>873</v>
      </c>
      <c r="M10" s="2000"/>
      <c r="N10" s="2019" t="s">
        <v>874</v>
      </c>
      <c r="O10" s="2019"/>
      <c r="P10" s="2019"/>
      <c r="Q10" s="2019"/>
      <c r="R10" s="2019"/>
      <c r="S10" s="2019"/>
      <c r="T10" s="2019"/>
      <c r="U10" s="2019"/>
      <c r="V10" s="2019"/>
      <c r="W10" s="2019"/>
      <c r="X10" s="2019"/>
      <c r="Y10" s="2019"/>
      <c r="Z10" s="2079"/>
      <c r="AA10" s="2080"/>
      <c r="AB10" s="2019"/>
      <c r="AC10" s="2019"/>
      <c r="AD10" s="2019"/>
      <c r="AE10" s="2019"/>
      <c r="AF10" s="2081"/>
      <c r="AG10" s="2019"/>
      <c r="AH10" s="2019"/>
      <c r="AI10" s="2081"/>
      <c r="AJ10" s="2019"/>
      <c r="AK10" s="2019"/>
      <c r="AL10" s="1045"/>
      <c r="AM10" s="828"/>
      <c r="AN10" s="828"/>
      <c r="AO10" s="828"/>
      <c r="AP10" s="828"/>
      <c r="AQ10" s="828"/>
      <c r="AR10" s="828"/>
      <c r="AS10" s="828"/>
      <c r="AT10" s="828"/>
      <c r="AU10" s="828"/>
      <c r="AV10" s="828"/>
      <c r="AW10" s="828"/>
      <c r="AX10" s="828"/>
      <c r="AY10" s="828"/>
      <c r="AZ10" s="828"/>
      <c r="BA10" s="828"/>
      <c r="BB10" s="828"/>
      <c r="BC10" s="828"/>
      <c r="BD10" s="828"/>
      <c r="BE10" s="828"/>
      <c r="BF10" s="828"/>
    </row>
    <row r="11" spans="1:58" s="1921" customFormat="1" ht="23.25" customHeight="1">
      <c r="A11" s="1033"/>
      <c r="B11" s="1033"/>
      <c r="C11" s="1033"/>
      <c r="D11" s="1032"/>
      <c r="E11" s="1034"/>
      <c r="F11" s="2107"/>
      <c r="G11" s="2202"/>
      <c r="H11" s="2108"/>
      <c r="I11" s="2019"/>
      <c r="J11" s="2019"/>
      <c r="K11" s="2019"/>
      <c r="L11" s="2076" t="s">
        <v>875</v>
      </c>
      <c r="M11" s="2076" t="s">
        <v>876</v>
      </c>
      <c r="N11" s="2019" t="s">
        <v>877</v>
      </c>
      <c r="O11" s="2019"/>
      <c r="P11" s="2074" t="s">
        <v>858</v>
      </c>
      <c r="Q11" s="2074" t="s">
        <v>878</v>
      </c>
      <c r="R11" s="2074" t="s">
        <v>879</v>
      </c>
      <c r="S11" s="2074" t="s">
        <v>880</v>
      </c>
      <c r="T11" s="2074"/>
      <c r="U11" s="2074"/>
      <c r="V11" s="2074"/>
      <c r="W11" s="2074"/>
      <c r="X11" s="2074"/>
      <c r="Y11" s="2074"/>
      <c r="Z11" s="2079"/>
      <c r="AA11" s="2080"/>
      <c r="AB11" s="2019" t="s">
        <v>881</v>
      </c>
      <c r="AC11" s="2019"/>
      <c r="AD11" s="2001" t="s">
        <v>882</v>
      </c>
      <c r="AE11" s="2000"/>
      <c r="AF11" s="2081"/>
      <c r="AG11" s="2019"/>
      <c r="AH11" s="2019"/>
      <c r="AI11" s="2081"/>
      <c r="AJ11" s="2019"/>
      <c r="AK11" s="2019"/>
      <c r="AL11" s="1045"/>
      <c r="AM11" s="1031"/>
      <c r="AN11" s="1031"/>
      <c r="AO11" s="1031"/>
      <c r="AP11" s="1031"/>
      <c r="AQ11" s="1031"/>
      <c r="AR11" s="1031"/>
      <c r="AS11" s="1031"/>
      <c r="AT11" s="1031"/>
      <c r="AU11" s="1031"/>
      <c r="AV11" s="1031"/>
      <c r="AW11" s="1031"/>
      <c r="AX11" s="1031"/>
      <c r="AY11" s="1031"/>
      <c r="AZ11" s="1031"/>
      <c r="BA11" s="1031"/>
      <c r="BB11" s="1031"/>
      <c r="BC11" s="1031"/>
      <c r="BD11" s="1031"/>
      <c r="BE11" s="1031"/>
      <c r="BF11" s="1031"/>
    </row>
    <row r="12" spans="1:58" ht="33.75" customHeight="1">
      <c r="A12" s="820"/>
      <c r="B12" s="820"/>
      <c r="C12" s="820"/>
      <c r="E12" s="823"/>
      <c r="F12" s="2107"/>
      <c r="G12" s="2203"/>
      <c r="H12" s="2254"/>
      <c r="I12" s="1055" t="s">
        <v>74</v>
      </c>
      <c r="J12" s="1055" t="s">
        <v>883</v>
      </c>
      <c r="K12" s="2019"/>
      <c r="L12" s="2132"/>
      <c r="M12" s="2132"/>
      <c r="N12" s="2019"/>
      <c r="O12" s="2019"/>
      <c r="P12" s="2074"/>
      <c r="Q12" s="2074"/>
      <c r="R12" s="2074"/>
      <c r="S12" s="1038" t="s">
        <v>71</v>
      </c>
      <c r="T12" s="1038" t="s">
        <v>72</v>
      </c>
      <c r="U12" s="1038" t="s">
        <v>70</v>
      </c>
      <c r="V12" s="1038" t="s">
        <v>884</v>
      </c>
      <c r="W12" s="1038" t="s">
        <v>70</v>
      </c>
      <c r="X12" s="1038" t="s">
        <v>885</v>
      </c>
      <c r="Y12" s="1038" t="s">
        <v>886</v>
      </c>
      <c r="Z12" s="2082"/>
      <c r="AA12" s="2083"/>
      <c r="AB12" s="1044" t="s">
        <v>887</v>
      </c>
      <c r="AC12" s="1044" t="s">
        <v>888</v>
      </c>
      <c r="AD12" s="1044" t="s">
        <v>887</v>
      </c>
      <c r="AE12" s="1044" t="s">
        <v>888</v>
      </c>
      <c r="AF12" s="2132"/>
      <c r="AG12" s="1056" t="s">
        <v>889</v>
      </c>
      <c r="AH12" s="1056" t="s">
        <v>890</v>
      </c>
      <c r="AI12" s="2132"/>
      <c r="AJ12" s="1056" t="s">
        <v>889</v>
      </c>
      <c r="AK12" s="1056" t="s">
        <v>890</v>
      </c>
      <c r="AL12" s="1045"/>
      <c r="AM12" s="822"/>
      <c r="AN12" s="822"/>
      <c r="AO12" s="822"/>
      <c r="AP12" s="822"/>
      <c r="AQ12" s="822"/>
      <c r="AR12" s="822"/>
      <c r="AS12" s="822"/>
      <c r="AT12" s="822"/>
      <c r="AU12" s="822"/>
      <c r="AV12" s="822"/>
      <c r="AW12" s="822"/>
      <c r="AX12" s="822"/>
      <c r="AY12" s="822"/>
      <c r="AZ12" s="822"/>
      <c r="BA12" s="822"/>
      <c r="BB12" s="822"/>
      <c r="BC12" s="822"/>
      <c r="BD12" s="822"/>
      <c r="BE12" s="822"/>
      <c r="BF12" s="822"/>
    </row>
    <row r="13" spans="1:58" ht="0.75" customHeight="1">
      <c r="E13" s="823"/>
      <c r="F13" s="1029">
        <v>0</v>
      </c>
      <c r="G13" s="1029"/>
      <c r="H13" s="1029"/>
      <c r="I13" s="1029"/>
      <c r="J13" s="1029"/>
      <c r="K13" s="1035"/>
      <c r="L13" s="1035"/>
      <c r="M13" s="1035"/>
      <c r="N13" s="1035"/>
      <c r="O13" s="1035"/>
      <c r="P13" s="1035"/>
      <c r="Q13" s="1035"/>
      <c r="R13" s="1035"/>
      <c r="S13" s="1035"/>
      <c r="T13" s="1035"/>
      <c r="U13" s="1035"/>
      <c r="V13" s="1035"/>
      <c r="W13" s="1035"/>
      <c r="X13" s="1035"/>
      <c r="Y13" s="1035"/>
      <c r="Z13" s="1035"/>
      <c r="AA13" s="1035"/>
      <c r="AB13" s="1035"/>
      <c r="AC13" s="1035"/>
      <c r="AD13" s="1035"/>
      <c r="AE13" s="1035"/>
      <c r="AF13" s="1035"/>
      <c r="AG13" s="1035"/>
      <c r="AH13" s="1051"/>
      <c r="AI13" s="1045"/>
      <c r="AJ13" s="1035"/>
      <c r="AK13" s="1035"/>
      <c r="AL13" s="824"/>
      <c r="AM13" s="822"/>
      <c r="AN13" s="822"/>
      <c r="AO13" s="822"/>
      <c r="AP13" s="822"/>
      <c r="AQ13" s="822"/>
      <c r="AR13" s="822"/>
      <c r="AS13" s="822"/>
      <c r="AT13" s="822"/>
      <c r="AU13" s="822"/>
      <c r="AV13" s="822"/>
      <c r="AW13" s="822"/>
      <c r="AX13" s="822"/>
      <c r="AY13" s="822"/>
      <c r="AZ13" s="822"/>
      <c r="BA13" s="822"/>
      <c r="BB13" s="822"/>
      <c r="BC13" s="822"/>
      <c r="BD13" s="822"/>
      <c r="BE13" s="822"/>
      <c r="BF13" s="822"/>
    </row>
    <row r="14" spans="1:58" ht="10.5" customHeight="1">
      <c r="E14" s="822"/>
      <c r="F14" s="833"/>
      <c r="G14" s="833"/>
      <c r="H14" s="1075"/>
      <c r="I14" s="833"/>
      <c r="J14" s="833"/>
      <c r="K14" s="833"/>
      <c r="L14" s="1035"/>
      <c r="M14" s="1035"/>
      <c r="N14" s="833"/>
      <c r="O14" s="833"/>
      <c r="P14" s="833"/>
      <c r="Q14" s="833"/>
      <c r="R14" s="833"/>
      <c r="S14" s="833"/>
      <c r="T14" s="833"/>
      <c r="U14" s="833"/>
      <c r="V14" s="833"/>
      <c r="W14" s="833"/>
      <c r="X14" s="833"/>
      <c r="Y14" s="833"/>
      <c r="Z14" s="833"/>
      <c r="AA14" s="833"/>
      <c r="AB14" s="833"/>
      <c r="AC14" s="833"/>
      <c r="AD14" s="1035"/>
      <c r="AE14" s="833"/>
      <c r="AF14" s="833"/>
      <c r="AG14" s="833"/>
      <c r="AH14" s="1051"/>
      <c r="AI14" s="1045"/>
      <c r="AJ14" s="833"/>
      <c r="AK14" s="833"/>
      <c r="AL14" s="822"/>
      <c r="AM14" s="822"/>
      <c r="AN14" s="822"/>
      <c r="AO14" s="822"/>
      <c r="AP14" s="822"/>
      <c r="AQ14" s="822"/>
      <c r="AR14" s="822"/>
      <c r="AS14" s="822"/>
      <c r="AT14" s="822"/>
      <c r="AU14" s="822"/>
      <c r="AV14" s="822"/>
      <c r="AW14" s="822"/>
      <c r="AX14" s="822"/>
      <c r="AY14" s="822"/>
      <c r="AZ14" s="822"/>
      <c r="BA14" s="822"/>
      <c r="BB14" s="822"/>
      <c r="BC14" s="822"/>
      <c r="BD14" s="822"/>
      <c r="BE14" s="822"/>
      <c r="BF14" s="822"/>
    </row>
    <row r="15" spans="1:58" ht="12.75" customHeight="1">
      <c r="E15" s="822"/>
      <c r="F15" s="829" t="s">
        <v>891</v>
      </c>
      <c r="G15" s="829"/>
      <c r="H15" s="1074"/>
      <c r="I15" s="829"/>
      <c r="J15" s="829"/>
      <c r="K15" s="826"/>
      <c r="L15" s="1031"/>
      <c r="M15" s="1031"/>
      <c r="N15" s="828"/>
      <c r="O15" s="828"/>
      <c r="P15" s="828"/>
      <c r="Q15" s="828"/>
      <c r="R15" s="828"/>
      <c r="S15" s="828"/>
      <c r="T15" s="828"/>
      <c r="U15" s="828"/>
      <c r="V15" s="828"/>
      <c r="W15" s="828"/>
      <c r="X15" s="828"/>
      <c r="Y15" s="828"/>
      <c r="Z15" s="826"/>
      <c r="AA15" s="826"/>
      <c r="AB15" s="826"/>
      <c r="AC15" s="826"/>
      <c r="AD15" s="1031"/>
      <c r="AE15" s="826"/>
      <c r="AF15" s="826"/>
      <c r="AG15" s="826"/>
      <c r="AH15" s="1048"/>
      <c r="AI15" s="1042"/>
      <c r="AJ15" s="826"/>
      <c r="AK15" s="826"/>
      <c r="AL15" s="822"/>
      <c r="AM15" s="822"/>
      <c r="AN15" s="822"/>
      <c r="AO15" s="822"/>
      <c r="AP15" s="822"/>
      <c r="AQ15" s="822"/>
      <c r="AR15" s="822"/>
      <c r="AS15" s="822"/>
      <c r="AT15" s="822"/>
      <c r="AU15" s="822"/>
      <c r="AV15" s="822"/>
      <c r="AW15" s="822"/>
      <c r="AX15" s="822"/>
      <c r="AY15" s="822"/>
      <c r="AZ15" s="822"/>
      <c r="BA15" s="822"/>
      <c r="BB15" s="822"/>
      <c r="BC15" s="822"/>
      <c r="BD15" s="822"/>
      <c r="BE15" s="822"/>
      <c r="BF15" s="822"/>
    </row>
    <row r="17" spans="5:58" ht="10.5" customHeight="1">
      <c r="E17" s="822"/>
      <c r="F17" s="2252"/>
      <c r="G17" s="2252"/>
      <c r="H17" s="2252"/>
      <c r="I17" s="2252"/>
      <c r="J17" s="2252"/>
      <c r="K17" s="826"/>
      <c r="L17" s="1031"/>
      <c r="M17" s="1031"/>
      <c r="N17" s="828"/>
      <c r="O17" s="828"/>
      <c r="P17" s="828"/>
      <c r="Q17" s="828"/>
      <c r="R17" s="828"/>
      <c r="S17" s="828"/>
      <c r="T17" s="828"/>
      <c r="U17" s="828"/>
      <c r="V17" s="828"/>
      <c r="W17" s="828"/>
      <c r="X17" s="828"/>
      <c r="Y17" s="828"/>
      <c r="Z17" s="826"/>
      <c r="AA17" s="826"/>
      <c r="AB17" s="826"/>
      <c r="AC17" s="826"/>
      <c r="AD17" s="1031"/>
      <c r="AE17" s="826"/>
      <c r="AF17" s="826"/>
      <c r="AG17" s="826"/>
      <c r="AH17" s="1048"/>
      <c r="AI17" s="1042"/>
      <c r="AJ17" s="826"/>
      <c r="AK17" s="826"/>
      <c r="AL17" s="822"/>
      <c r="AM17" s="822"/>
      <c r="AN17" s="822"/>
      <c r="AO17" s="822"/>
      <c r="AP17" s="822"/>
      <c r="AQ17" s="822"/>
      <c r="AR17" s="822"/>
      <c r="AS17" s="822"/>
      <c r="AT17" s="822"/>
      <c r="AU17" s="822"/>
      <c r="AV17" s="822"/>
      <c r="AW17" s="822"/>
      <c r="AX17" s="822"/>
      <c r="AY17" s="822"/>
      <c r="AZ17" s="822"/>
      <c r="BA17" s="822"/>
      <c r="BB17" s="822"/>
      <c r="BC17" s="822"/>
      <c r="BD17" s="822"/>
      <c r="BE17" s="822"/>
      <c r="BF17" s="822"/>
    </row>
    <row r="18" spans="5:58" ht="10.5" customHeight="1">
      <c r="E18" s="822"/>
      <c r="F18" s="2252"/>
      <c r="G18" s="2252"/>
      <c r="H18" s="2252"/>
      <c r="I18" s="2252"/>
      <c r="J18" s="2252"/>
      <c r="K18" s="826"/>
      <c r="L18" s="1031"/>
      <c r="M18" s="1031"/>
      <c r="N18" s="828"/>
      <c r="O18" s="828"/>
      <c r="P18" s="828"/>
      <c r="Q18" s="828"/>
      <c r="R18" s="828"/>
      <c r="S18" s="828"/>
      <c r="T18" s="828"/>
      <c r="U18" s="828"/>
      <c r="V18" s="828"/>
      <c r="W18" s="828"/>
      <c r="X18" s="828"/>
      <c r="Y18" s="828"/>
      <c r="Z18" s="826"/>
      <c r="AA18" s="826"/>
      <c r="AB18" s="826"/>
      <c r="AC18" s="826"/>
      <c r="AD18" s="1031"/>
      <c r="AE18" s="826"/>
      <c r="AF18" s="826"/>
      <c r="AG18" s="826"/>
      <c r="AH18" s="1048"/>
      <c r="AI18" s="1042"/>
      <c r="AJ18" s="826"/>
      <c r="AK18" s="826"/>
      <c r="AL18" s="822"/>
      <c r="AM18" s="822"/>
      <c r="AN18" s="822"/>
      <c r="AO18" s="822"/>
      <c r="AP18" s="822"/>
      <c r="AQ18" s="822"/>
      <c r="AR18" s="822"/>
      <c r="AS18" s="822"/>
      <c r="AT18" s="822"/>
      <c r="AU18" s="822"/>
      <c r="AV18" s="822"/>
      <c r="AW18" s="822"/>
      <c r="AX18" s="822"/>
      <c r="AY18" s="822"/>
      <c r="AZ18" s="822"/>
      <c r="BA18" s="822"/>
      <c r="BB18" s="822"/>
      <c r="BC18" s="822"/>
      <c r="BD18" s="822"/>
      <c r="BE18" s="822"/>
      <c r="BF18" s="822"/>
    </row>
    <row r="19" spans="5:58" ht="10.5" customHeight="1">
      <c r="E19" s="822"/>
      <c r="F19" s="2252"/>
      <c r="G19" s="2252"/>
      <c r="H19" s="2252"/>
      <c r="I19" s="2252"/>
      <c r="J19" s="2252"/>
      <c r="K19" s="826"/>
      <c r="L19" s="1031"/>
      <c r="M19" s="1031"/>
      <c r="N19" s="828"/>
      <c r="O19" s="828"/>
      <c r="P19" s="828"/>
      <c r="Q19" s="828"/>
      <c r="R19" s="828"/>
      <c r="S19" s="828"/>
      <c r="T19" s="828"/>
      <c r="U19" s="828"/>
      <c r="V19" s="828"/>
      <c r="W19" s="828"/>
      <c r="X19" s="828"/>
      <c r="Y19" s="828"/>
      <c r="Z19" s="826"/>
      <c r="AA19" s="826"/>
      <c r="AB19" s="826"/>
      <c r="AC19" s="826"/>
      <c r="AD19" s="1031"/>
      <c r="AE19" s="826"/>
      <c r="AF19" s="826"/>
      <c r="AG19" s="826"/>
      <c r="AH19" s="1048"/>
      <c r="AI19" s="1042"/>
      <c r="AJ19" s="826"/>
      <c r="AK19" s="826"/>
      <c r="AL19" s="822"/>
      <c r="AM19" s="822"/>
      <c r="AN19" s="822"/>
      <c r="AO19" s="822"/>
      <c r="AP19" s="822"/>
      <c r="AQ19" s="822"/>
      <c r="AR19" s="822"/>
      <c r="AS19" s="822"/>
      <c r="AT19" s="822"/>
      <c r="AU19" s="822"/>
      <c r="AV19" s="822"/>
      <c r="AW19" s="822"/>
      <c r="AX19" s="822"/>
      <c r="AY19" s="822"/>
      <c r="AZ19" s="822"/>
      <c r="BA19" s="822"/>
      <c r="BB19" s="822"/>
      <c r="BC19" s="822"/>
      <c r="BD19" s="822"/>
      <c r="BE19" s="822"/>
      <c r="BF19" s="822"/>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V58"/>
  <sheetViews>
    <sheetView showGridLines="0" topLeftCell="E4" zoomScale="85" workbookViewId="0"/>
  </sheetViews>
  <sheetFormatPr defaultColWidth="9.140625" defaultRowHeight="10.5" customHeight="1"/>
  <cols>
    <col min="1" max="3" width="4.140625" style="1920" hidden="1" customWidth="1"/>
    <col min="4" max="4" width="4.140625" style="1882" hidden="1" customWidth="1"/>
    <col min="5" max="5" width="3.7109375" style="1816" customWidth="1"/>
    <col min="6" max="6" width="6.28515625" style="1856" customWidth="1"/>
    <col min="7" max="7" width="60.140625" style="1856" customWidth="1"/>
    <col min="8" max="9" width="21.7109375" style="1856" hidden="1" customWidth="1"/>
    <col min="10" max="10" width="0.140625" style="1856" customWidth="1"/>
    <col min="11" max="11" width="1.7109375" style="1856" customWidth="1"/>
    <col min="12" max="22" width="9.140625" style="1856"/>
  </cols>
  <sheetData>
    <row r="1" spans="1:22" s="1882" customFormat="1" ht="10.5" hidden="1" customHeight="1">
      <c r="A1" s="1068"/>
      <c r="B1" s="1068"/>
      <c r="C1" s="1068"/>
      <c r="E1" s="461"/>
    </row>
    <row r="2" spans="1:22" ht="10.5" hidden="1" customHeight="1"/>
    <row r="3" spans="1:22" s="1855" customFormat="1" ht="10.5" hidden="1" customHeight="1">
      <c r="A3" s="1068"/>
      <c r="B3" s="1068"/>
      <c r="C3" s="1068"/>
      <c r="D3" s="1062"/>
      <c r="E3" s="288"/>
    </row>
    <row r="4" spans="1:22" ht="3" customHeight="1"/>
    <row r="5" spans="1:22" ht="25.5" customHeight="1">
      <c r="F5" s="2127"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127"/>
      <c r="H5" s="2127"/>
      <c r="I5" s="2127"/>
      <c r="J5" s="2127"/>
    </row>
    <row r="6" spans="1:22" ht="10.5" customHeight="1">
      <c r="F6" s="2098" t="str">
        <f>IF(org=0,"Не определено",org)</f>
        <v>ООО "Горводоканал"</v>
      </c>
      <c r="G6" s="2098"/>
      <c r="H6" s="2098"/>
      <c r="I6" s="2098"/>
      <c r="J6" s="2098"/>
    </row>
    <row r="7" spans="1:22" ht="11.25" customHeight="1">
      <c r="E7" s="1072"/>
      <c r="F7" s="1138"/>
      <c r="G7" s="1138"/>
      <c r="H7" s="1138"/>
      <c r="I7" s="1138"/>
      <c r="J7" s="1138"/>
      <c r="K7" s="1059"/>
      <c r="L7" s="1059"/>
      <c r="M7" s="1059"/>
      <c r="N7" s="1059"/>
      <c r="O7" s="1059"/>
      <c r="P7" s="1059"/>
      <c r="Q7" s="1059"/>
      <c r="R7" s="1059"/>
      <c r="S7" s="1059"/>
      <c r="T7" s="1059"/>
      <c r="U7" s="1059"/>
      <c r="V7" s="1059"/>
    </row>
    <row r="8" spans="1:22" s="1811" customFormat="1" ht="5.25" customHeight="1">
      <c r="A8" s="1069"/>
      <c r="B8" s="1069"/>
      <c r="C8" s="1069"/>
      <c r="E8" s="1139"/>
      <c r="F8" s="1140"/>
      <c r="G8" s="1140"/>
      <c r="H8" s="1140"/>
      <c r="I8" s="1140"/>
      <c r="J8" s="1140"/>
      <c r="K8" s="1139"/>
      <c r="L8" s="1139"/>
      <c r="M8" s="1139"/>
      <c r="N8" s="1139"/>
      <c r="O8" s="1139"/>
      <c r="P8" s="1139"/>
      <c r="Q8" s="1139"/>
      <c r="R8" s="1139"/>
      <c r="S8" s="1139"/>
      <c r="T8" s="1139"/>
      <c r="U8" s="1139"/>
      <c r="V8" s="1139"/>
    </row>
    <row r="9" spans="1:22" ht="10.5" customHeight="1">
      <c r="E9" s="1072"/>
      <c r="F9" s="2258" t="s">
        <v>268</v>
      </c>
      <c r="G9" s="2259"/>
      <c r="H9" s="2259"/>
      <c r="I9" s="2259"/>
      <c r="J9" s="2259"/>
      <c r="K9" s="1151"/>
      <c r="L9" s="1059"/>
      <c r="M9" s="1059"/>
      <c r="N9" s="1059"/>
      <c r="O9" s="1059"/>
      <c r="P9" s="1059"/>
      <c r="Q9" s="1059"/>
      <c r="R9" s="1059"/>
      <c r="S9" s="1059"/>
      <c r="T9" s="1059"/>
      <c r="U9" s="1059"/>
      <c r="V9" s="1059"/>
    </row>
    <row r="10" spans="1:22" ht="24" customHeight="1">
      <c r="E10" s="1059"/>
      <c r="F10" s="2262" t="s">
        <v>73</v>
      </c>
      <c r="G10" s="2266" t="s">
        <v>892</v>
      </c>
      <c r="H10" s="2247" t="s">
        <v>893</v>
      </c>
      <c r="I10" s="2247"/>
      <c r="J10" s="2247"/>
      <c r="K10" s="1144"/>
      <c r="L10" s="1059"/>
      <c r="M10" s="1059"/>
      <c r="N10" s="1059"/>
      <c r="O10" s="1059"/>
      <c r="P10" s="1059"/>
      <c r="Q10" s="1059"/>
      <c r="R10" s="1059"/>
      <c r="S10" s="1059"/>
      <c r="T10" s="1059"/>
      <c r="U10" s="1059"/>
      <c r="V10" s="1059"/>
    </row>
    <row r="11" spans="1:22" ht="24" customHeight="1">
      <c r="E11" s="1059"/>
      <c r="F11" s="2263"/>
      <c r="G11" s="2266"/>
      <c r="H11" s="2265" t="e">
        <f>INDEX(IP_MAIN_LIST_NAME_IP,MATCH(H8,IP_MAIN_LIST_IP_ID,0))&amp;" ("&amp;INDEX(IP_MAIN_START_DATE,MATCH(H8,IP_MAIN_LIST_IP_ID,0))&amp;"-"&amp;INDEX(IP_MAIN_END_DATE,MATCH(H8,IP_MAIN_LIST_IP_ID,0))&amp;")"</f>
        <v>#N/A</v>
      </c>
      <c r="I11" s="2265"/>
      <c r="J11" s="2265"/>
      <c r="K11" s="1144"/>
      <c r="L11" s="1059"/>
      <c r="M11" s="1059"/>
      <c r="N11" s="1059"/>
      <c r="O11" s="1059"/>
      <c r="P11" s="1059"/>
      <c r="Q11" s="1059"/>
      <c r="R11" s="1059"/>
      <c r="S11" s="1059"/>
      <c r="T11" s="1059"/>
      <c r="U11" s="1059"/>
      <c r="V11" s="1059"/>
    </row>
    <row r="12" spans="1:22" ht="10.5" customHeight="1">
      <c r="F12" s="2264"/>
      <c r="G12" s="2266"/>
      <c r="H12" s="1137" t="s">
        <v>894</v>
      </c>
      <c r="I12" s="1143"/>
      <c r="J12" s="1137"/>
      <c r="K12" s="1145"/>
    </row>
    <row r="13" spans="1:22" ht="10.5" hidden="1" customHeight="1">
      <c r="F13" s="1137">
        <v>1</v>
      </c>
      <c r="G13" s="1137">
        <v>2</v>
      </c>
      <c r="H13" s="1137">
        <v>3</v>
      </c>
      <c r="I13" s="1137">
        <v>4</v>
      </c>
      <c r="J13" s="1137">
        <v>5</v>
      </c>
      <c r="K13" s="1145"/>
    </row>
    <row r="14" spans="1:22" ht="11.25" customHeight="1">
      <c r="F14" s="1136" t="s">
        <v>895</v>
      </c>
      <c r="G14" s="2260" t="s">
        <v>896</v>
      </c>
      <c r="H14" s="2260"/>
      <c r="I14" s="2260"/>
      <c r="J14" s="2260"/>
      <c r="K14" s="1145"/>
    </row>
    <row r="15" spans="1:22" ht="11.25" customHeight="1">
      <c r="F15" s="1141">
        <v>1</v>
      </c>
      <c r="G15" s="609" t="s">
        <v>897</v>
      </c>
      <c r="H15" s="1147">
        <f t="shared" ref="H15:H36" si="0">SUM(I15:J15)</f>
        <v>0</v>
      </c>
      <c r="I15" s="1147">
        <f>SUM(I16:I27)</f>
        <v>0</v>
      </c>
      <c r="J15" s="1136"/>
      <c r="K15" s="1145"/>
    </row>
    <row r="16" spans="1:22" ht="22.5" customHeight="1">
      <c r="F16" s="1141" t="s">
        <v>898</v>
      </c>
      <c r="G16" s="1148" t="s">
        <v>899</v>
      </c>
      <c r="H16" s="1147">
        <f t="shared" si="0"/>
        <v>0</v>
      </c>
      <c r="I16" s="1146"/>
      <c r="J16" s="1136"/>
      <c r="K16" s="1145"/>
    </row>
    <row r="17" spans="6:11" ht="22.5" customHeight="1">
      <c r="F17" s="1141" t="s">
        <v>900</v>
      </c>
      <c r="G17" s="1148" t="s">
        <v>901</v>
      </c>
      <c r="H17" s="1147">
        <f t="shared" si="0"/>
        <v>0</v>
      </c>
      <c r="I17" s="1146"/>
      <c r="J17" s="1136"/>
      <c r="K17" s="1145"/>
    </row>
    <row r="18" spans="6:11" ht="33.75" customHeight="1">
      <c r="F18" s="1141" t="s">
        <v>902</v>
      </c>
      <c r="G18" s="1148" t="s">
        <v>903</v>
      </c>
      <c r="H18" s="1147">
        <f t="shared" si="0"/>
        <v>0</v>
      </c>
      <c r="I18" s="1146"/>
      <c r="J18" s="1136"/>
      <c r="K18" s="1145"/>
    </row>
    <row r="19" spans="6:11" ht="33.75" customHeight="1">
      <c r="F19" s="1141" t="s">
        <v>904</v>
      </c>
      <c r="G19" s="1148" t="s">
        <v>905</v>
      </c>
      <c r="H19" s="1147">
        <f t="shared" si="0"/>
        <v>0</v>
      </c>
      <c r="I19" s="1146"/>
      <c r="J19" s="1136"/>
      <c r="K19" s="1145"/>
    </row>
    <row r="20" spans="6:11" ht="45" customHeight="1">
      <c r="F20" s="1141" t="s">
        <v>906</v>
      </c>
      <c r="G20" s="1148" t="s">
        <v>907</v>
      </c>
      <c r="H20" s="1147">
        <f t="shared" si="0"/>
        <v>0</v>
      </c>
      <c r="I20" s="1146"/>
      <c r="J20" s="1136"/>
      <c r="K20" s="1145"/>
    </row>
    <row r="21" spans="6:11" ht="33.75" customHeight="1">
      <c r="F21" s="1141" t="s">
        <v>908</v>
      </c>
      <c r="G21" s="1148" t="s">
        <v>909</v>
      </c>
      <c r="H21" s="1147">
        <f t="shared" si="0"/>
        <v>0</v>
      </c>
      <c r="I21" s="1146"/>
      <c r="J21" s="1136"/>
      <c r="K21" s="1145"/>
    </row>
    <row r="22" spans="6:11" ht="33.75" customHeight="1">
      <c r="F22" s="1141" t="s">
        <v>910</v>
      </c>
      <c r="G22" s="1148" t="s">
        <v>911</v>
      </c>
      <c r="H22" s="1147">
        <f t="shared" si="0"/>
        <v>0</v>
      </c>
      <c r="I22" s="1146"/>
      <c r="J22" s="1136"/>
      <c r="K22" s="1145"/>
    </row>
    <row r="23" spans="6:11" ht="22.5" customHeight="1">
      <c r="F23" s="1141" t="s">
        <v>912</v>
      </c>
      <c r="G23" s="1148" t="s">
        <v>913</v>
      </c>
      <c r="H23" s="1147">
        <f t="shared" si="0"/>
        <v>0</v>
      </c>
      <c r="I23" s="1146"/>
      <c r="J23" s="1136"/>
      <c r="K23" s="1145"/>
    </row>
    <row r="24" spans="6:11" ht="22.5" customHeight="1">
      <c r="F24" s="1141" t="s">
        <v>914</v>
      </c>
      <c r="G24" s="1148" t="s">
        <v>915</v>
      </c>
      <c r="H24" s="1147">
        <f t="shared" si="0"/>
        <v>0</v>
      </c>
      <c r="I24" s="1146"/>
      <c r="J24" s="1136"/>
      <c r="K24" s="1145"/>
    </row>
    <row r="25" spans="6:11" ht="33.75" customHeight="1">
      <c r="F25" s="1141" t="s">
        <v>916</v>
      </c>
      <c r="G25" s="1148" t="s">
        <v>917</v>
      </c>
      <c r="H25" s="1147">
        <f t="shared" si="0"/>
        <v>0</v>
      </c>
      <c r="I25" s="1146"/>
      <c r="J25" s="1136"/>
      <c r="K25" s="1145"/>
    </row>
    <row r="26" spans="6:11" ht="33.75" customHeight="1">
      <c r="F26" s="1141" t="s">
        <v>918</v>
      </c>
      <c r="G26" s="1148" t="s">
        <v>919</v>
      </c>
      <c r="H26" s="1147">
        <f t="shared" si="0"/>
        <v>0</v>
      </c>
      <c r="I26" s="1146"/>
      <c r="J26" s="1136"/>
      <c r="K26" s="1145"/>
    </row>
    <row r="27" spans="6:11" ht="11.25" customHeight="1">
      <c r="F27" s="1141" t="s">
        <v>920</v>
      </c>
      <c r="G27" s="1148" t="s">
        <v>921</v>
      </c>
      <c r="H27" s="1147">
        <f t="shared" si="0"/>
        <v>0</v>
      </c>
      <c r="I27" s="1146"/>
      <c r="J27" s="1136"/>
      <c r="K27" s="1145"/>
    </row>
    <row r="28" spans="6:11" ht="11.25" customHeight="1">
      <c r="F28" s="1141">
        <v>2</v>
      </c>
      <c r="G28" s="609" t="s">
        <v>922</v>
      </c>
      <c r="H28" s="1147">
        <f t="shared" si="0"/>
        <v>0</v>
      </c>
      <c r="I28" s="1147">
        <f>SUM(I29:I31)</f>
        <v>0</v>
      </c>
      <c r="J28" s="1136"/>
      <c r="K28" s="1145"/>
    </row>
    <row r="29" spans="6:11" ht="11.25" customHeight="1">
      <c r="F29" s="1141" t="s">
        <v>584</v>
      </c>
      <c r="G29" s="1148" t="s">
        <v>923</v>
      </c>
      <c r="H29" s="1147">
        <f t="shared" si="0"/>
        <v>0</v>
      </c>
      <c r="I29" s="1146"/>
      <c r="J29" s="1136"/>
      <c r="K29" s="1145"/>
    </row>
    <row r="30" spans="6:11" ht="11.25" customHeight="1">
      <c r="F30" s="1141" t="s">
        <v>275</v>
      </c>
      <c r="G30" s="1148" t="s">
        <v>924</v>
      </c>
      <c r="H30" s="1147">
        <f t="shared" si="0"/>
        <v>0</v>
      </c>
      <c r="I30" s="1146"/>
      <c r="J30" s="1136"/>
      <c r="K30" s="1145"/>
    </row>
    <row r="31" spans="6:11" ht="11.25" customHeight="1">
      <c r="F31" s="1141" t="s">
        <v>278</v>
      </c>
      <c r="G31" s="1148" t="s">
        <v>925</v>
      </c>
      <c r="H31" s="1147">
        <f t="shared" si="0"/>
        <v>0</v>
      </c>
      <c r="I31" s="1146"/>
      <c r="J31" s="1136"/>
      <c r="K31" s="1145"/>
    </row>
    <row r="32" spans="6:11" ht="11.25" customHeight="1">
      <c r="F32" s="1141">
        <v>3</v>
      </c>
      <c r="G32" s="609" t="s">
        <v>926</v>
      </c>
      <c r="H32" s="1147">
        <f t="shared" si="0"/>
        <v>0</v>
      </c>
      <c r="I32" s="1147">
        <f>SUM(I33:I34)</f>
        <v>0</v>
      </c>
      <c r="J32" s="1136"/>
      <c r="K32" s="1145"/>
    </row>
    <row r="33" spans="6:11" ht="33.75" customHeight="1">
      <c r="F33" s="1141" t="s">
        <v>294</v>
      </c>
      <c r="G33" s="1148" t="s">
        <v>927</v>
      </c>
      <c r="H33" s="1147">
        <f t="shared" si="0"/>
        <v>0</v>
      </c>
      <c r="I33" s="1146"/>
      <c r="J33" s="1136"/>
      <c r="K33" s="1145"/>
    </row>
    <row r="34" spans="6:11" ht="11.25" customHeight="1">
      <c r="F34" s="1141" t="s">
        <v>302</v>
      </c>
      <c r="G34" s="1148" t="s">
        <v>928</v>
      </c>
      <c r="H34" s="1147">
        <f t="shared" si="0"/>
        <v>0</v>
      </c>
      <c r="I34" s="1146"/>
      <c r="J34" s="1136"/>
      <c r="K34" s="1145"/>
    </row>
    <row r="35" spans="6:11" ht="11.25" customHeight="1">
      <c r="F35" s="1141">
        <v>4</v>
      </c>
      <c r="G35" s="609" t="s">
        <v>929</v>
      </c>
      <c r="H35" s="1147">
        <f t="shared" si="0"/>
        <v>0</v>
      </c>
      <c r="I35" s="1146"/>
      <c r="J35" s="1136"/>
      <c r="K35" s="1145"/>
    </row>
    <row r="36" spans="6:11" ht="11.25" customHeight="1">
      <c r="F36" s="1141"/>
      <c r="G36" s="612" t="s">
        <v>930</v>
      </c>
      <c r="H36" s="1147">
        <f t="shared" si="0"/>
        <v>0</v>
      </c>
      <c r="I36" s="1147">
        <f>SUM(I15,I28,I32,I35)</f>
        <v>0</v>
      </c>
      <c r="J36" s="1136"/>
      <c r="K36" s="1145"/>
    </row>
    <row r="37" spans="6:11" ht="27.75" customHeight="1">
      <c r="F37" s="1142" t="s">
        <v>931</v>
      </c>
      <c r="G37" s="2261" t="s">
        <v>932</v>
      </c>
      <c r="H37" s="2261"/>
      <c r="I37" s="2261"/>
      <c r="J37" s="2261"/>
      <c r="K37" s="1145"/>
    </row>
    <row r="38" spans="6:11" ht="22.5" customHeight="1">
      <c r="F38" s="1141" t="s">
        <v>91</v>
      </c>
      <c r="G38" s="609" t="s">
        <v>933</v>
      </c>
      <c r="H38" s="1147">
        <f t="shared" ref="H38:H58" si="1">SUM(I38:J38)</f>
        <v>0</v>
      </c>
      <c r="I38" s="1147">
        <f>SUM(I39,I44,I47)</f>
        <v>0</v>
      </c>
      <c r="J38" s="1136"/>
      <c r="K38" s="1145"/>
    </row>
    <row r="39" spans="6:11" ht="11.25" customHeight="1">
      <c r="F39" s="1141" t="s">
        <v>898</v>
      </c>
      <c r="G39" s="1148" t="s">
        <v>897</v>
      </c>
      <c r="H39" s="1147">
        <f t="shared" si="1"/>
        <v>0</v>
      </c>
      <c r="I39" s="1147">
        <f>SUM(I40:I43)</f>
        <v>0</v>
      </c>
      <c r="J39" s="1136"/>
      <c r="K39" s="1145"/>
    </row>
    <row r="40" spans="6:11" ht="22.5" customHeight="1">
      <c r="F40" s="1141" t="s">
        <v>934</v>
      </c>
      <c r="G40" s="1149" t="s">
        <v>935</v>
      </c>
      <c r="H40" s="1147">
        <f t="shared" si="1"/>
        <v>0</v>
      </c>
      <c r="I40" s="1146"/>
      <c r="J40" s="1136"/>
      <c r="K40" s="1145"/>
    </row>
    <row r="41" spans="6:11" ht="11.25" customHeight="1">
      <c r="F41" s="1141" t="s">
        <v>936</v>
      </c>
      <c r="G41" s="1149" t="s">
        <v>937</v>
      </c>
      <c r="H41" s="1147">
        <f t="shared" si="1"/>
        <v>0</v>
      </c>
      <c r="I41" s="1146"/>
      <c r="J41" s="1136"/>
      <c r="K41" s="1145"/>
    </row>
    <row r="42" spans="6:11" ht="11.25" customHeight="1">
      <c r="F42" s="1141" t="s">
        <v>938</v>
      </c>
      <c r="G42" s="1149" t="s">
        <v>939</v>
      </c>
      <c r="H42" s="1147">
        <f t="shared" si="1"/>
        <v>0</v>
      </c>
      <c r="I42" s="1146"/>
      <c r="J42" s="1136"/>
      <c r="K42" s="1145"/>
    </row>
    <row r="43" spans="6:11" ht="33.75" customHeight="1">
      <c r="F43" s="1141" t="s">
        <v>940</v>
      </c>
      <c r="G43" s="1149" t="s">
        <v>941</v>
      </c>
      <c r="H43" s="1147">
        <f t="shared" si="1"/>
        <v>0</v>
      </c>
      <c r="I43" s="1146"/>
      <c r="J43" s="1136"/>
      <c r="K43" s="1145"/>
    </row>
    <row r="44" spans="6:11" ht="11.25" customHeight="1">
      <c r="F44" s="1141" t="s">
        <v>900</v>
      </c>
      <c r="G44" s="1148" t="s">
        <v>926</v>
      </c>
      <c r="H44" s="1147">
        <f t="shared" si="1"/>
        <v>0</v>
      </c>
      <c r="I44" s="1147">
        <f>SUM(I45:I46)</f>
        <v>0</v>
      </c>
      <c r="J44" s="1136"/>
      <c r="K44" s="1145"/>
    </row>
    <row r="45" spans="6:11" ht="45" customHeight="1">
      <c r="F45" s="1141" t="s">
        <v>942</v>
      </c>
      <c r="G45" s="1149" t="s">
        <v>927</v>
      </c>
      <c r="H45" s="1147">
        <f t="shared" si="1"/>
        <v>0</v>
      </c>
      <c r="I45" s="1146"/>
      <c r="J45" s="1136"/>
      <c r="K45" s="1145"/>
    </row>
    <row r="46" spans="6:11" ht="11.25" customHeight="1">
      <c r="F46" s="1141" t="s">
        <v>943</v>
      </c>
      <c r="G46" s="1149" t="s">
        <v>928</v>
      </c>
      <c r="H46" s="1147">
        <f t="shared" si="1"/>
        <v>0</v>
      </c>
      <c r="I46" s="1146"/>
      <c r="J46" s="1136"/>
      <c r="K46" s="1145"/>
    </row>
    <row r="47" spans="6:11" ht="11.25" customHeight="1">
      <c r="F47" s="1141" t="s">
        <v>902</v>
      </c>
      <c r="G47" s="1148" t="s">
        <v>944</v>
      </c>
      <c r="H47" s="1147">
        <f t="shared" si="1"/>
        <v>0</v>
      </c>
      <c r="I47" s="1146"/>
      <c r="J47" s="1136"/>
      <c r="K47" s="1145"/>
    </row>
    <row r="48" spans="6:11" ht="22.5" customHeight="1">
      <c r="F48" s="1141" t="s">
        <v>92</v>
      </c>
      <c r="G48" s="609" t="s">
        <v>945</v>
      </c>
      <c r="H48" s="1147">
        <f t="shared" si="1"/>
        <v>0</v>
      </c>
      <c r="I48" s="1147">
        <f>SUM(I49,I54,I57)</f>
        <v>0</v>
      </c>
      <c r="J48" s="1136"/>
      <c r="K48" s="1145"/>
    </row>
    <row r="49" spans="6:11" ht="11.25" customHeight="1">
      <c r="F49" s="1141" t="s">
        <v>584</v>
      </c>
      <c r="G49" s="1148" t="s">
        <v>897</v>
      </c>
      <c r="H49" s="1147">
        <f t="shared" si="1"/>
        <v>0</v>
      </c>
      <c r="I49" s="1147">
        <f>SUM(I50:I53)</f>
        <v>0</v>
      </c>
      <c r="J49" s="1136"/>
      <c r="K49" s="1145"/>
    </row>
    <row r="50" spans="6:11" ht="22.5" customHeight="1">
      <c r="F50" s="1141" t="s">
        <v>587</v>
      </c>
      <c r="G50" s="1149" t="s">
        <v>935</v>
      </c>
      <c r="H50" s="1147">
        <f t="shared" si="1"/>
        <v>0</v>
      </c>
      <c r="I50" s="1146"/>
      <c r="J50" s="1136"/>
      <c r="K50" s="1145"/>
    </row>
    <row r="51" spans="6:11" ht="11.25" customHeight="1">
      <c r="F51" s="1141" t="s">
        <v>590</v>
      </c>
      <c r="G51" s="1149" t="s">
        <v>937</v>
      </c>
      <c r="H51" s="1147">
        <f t="shared" si="1"/>
        <v>0</v>
      </c>
      <c r="I51" s="1146"/>
      <c r="J51" s="1136"/>
      <c r="K51" s="1145"/>
    </row>
    <row r="52" spans="6:11" ht="11.25" customHeight="1">
      <c r="F52" s="1141" t="s">
        <v>946</v>
      </c>
      <c r="G52" s="1149" t="s">
        <v>939</v>
      </c>
      <c r="H52" s="1147">
        <f t="shared" si="1"/>
        <v>0</v>
      </c>
      <c r="I52" s="1146"/>
      <c r="J52" s="1136"/>
      <c r="K52" s="1145"/>
    </row>
    <row r="53" spans="6:11" ht="33.75" customHeight="1">
      <c r="F53" s="1141" t="s">
        <v>947</v>
      </c>
      <c r="G53" s="1149" t="s">
        <v>941</v>
      </c>
      <c r="H53" s="1147">
        <f t="shared" si="1"/>
        <v>0</v>
      </c>
      <c r="I53" s="1146"/>
      <c r="J53" s="1136"/>
      <c r="K53" s="1145"/>
    </row>
    <row r="54" spans="6:11" ht="11.25" customHeight="1">
      <c r="F54" s="1141" t="s">
        <v>275</v>
      </c>
      <c r="G54" s="1148" t="s">
        <v>926</v>
      </c>
      <c r="H54" s="1147">
        <f t="shared" si="1"/>
        <v>0</v>
      </c>
      <c r="I54" s="1147">
        <f>SUM(I55:I56)</f>
        <v>0</v>
      </c>
      <c r="J54" s="1136"/>
      <c r="K54" s="1145"/>
    </row>
    <row r="55" spans="6:11" ht="45" customHeight="1">
      <c r="F55" s="1141" t="s">
        <v>594</v>
      </c>
      <c r="G55" s="1149" t="s">
        <v>927</v>
      </c>
      <c r="H55" s="1147">
        <f t="shared" si="1"/>
        <v>0</v>
      </c>
      <c r="I55" s="1146"/>
      <c r="J55" s="1136"/>
      <c r="K55" s="1145"/>
    </row>
    <row r="56" spans="6:11" ht="11.25" customHeight="1">
      <c r="F56" s="1141" t="s">
        <v>596</v>
      </c>
      <c r="G56" s="1149" t="s">
        <v>928</v>
      </c>
      <c r="H56" s="1147">
        <f t="shared" si="1"/>
        <v>0</v>
      </c>
      <c r="I56" s="1146"/>
      <c r="J56" s="1136"/>
      <c r="K56" s="1145"/>
    </row>
    <row r="57" spans="6:11" ht="11.25" customHeight="1">
      <c r="F57" s="1141" t="s">
        <v>278</v>
      </c>
      <c r="G57" s="1148" t="s">
        <v>944</v>
      </c>
      <c r="H57" s="1147">
        <f t="shared" si="1"/>
        <v>0</v>
      </c>
      <c r="I57" s="1146"/>
      <c r="J57" s="1136"/>
      <c r="K57" s="1145"/>
    </row>
    <row r="58" spans="6:11" ht="11.25" customHeight="1">
      <c r="F58" s="1141"/>
      <c r="G58" s="1150" t="s">
        <v>930</v>
      </c>
      <c r="H58" s="1147">
        <f t="shared" si="1"/>
        <v>0</v>
      </c>
      <c r="I58" s="1147">
        <f>SUM(I38,I48)</f>
        <v>0</v>
      </c>
      <c r="J58" s="1136"/>
      <c r="K58" s="1145"/>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B24"/>
  <sheetViews>
    <sheetView showGridLines="0" topLeftCell="E4" zoomScale="90" workbookViewId="0"/>
  </sheetViews>
  <sheetFormatPr defaultColWidth="9.140625" defaultRowHeight="12" customHeight="1"/>
  <cols>
    <col min="1" max="1" width="4.7109375" style="1931" hidden="1" customWidth="1"/>
    <col min="2" max="2" width="4.7109375" style="1932" hidden="1" customWidth="1"/>
    <col min="3" max="4" width="4.7109375" style="1931" hidden="1" customWidth="1"/>
    <col min="5" max="5" width="3.5703125" style="1931" customWidth="1"/>
    <col min="6" max="6" width="6.7109375" style="1931" customWidth="1"/>
    <col min="7" max="7" width="18.7109375" style="1931" customWidth="1"/>
    <col min="8" max="8" width="27.28515625" style="1931" customWidth="1"/>
    <col min="9" max="9" width="18.7109375" style="1931" customWidth="1"/>
    <col min="10" max="14" width="0.85546875" style="1931" hidden="1" customWidth="1"/>
    <col min="15" max="28" width="21.7109375" style="1931" hidden="1" customWidth="1"/>
    <col min="29" max="71" width="0.85546875" style="1931" hidden="1" customWidth="1"/>
    <col min="72" max="79" width="21.7109375" style="1931" hidden="1" customWidth="1"/>
    <col min="80" max="81" width="29.140625" style="1931" hidden="1" customWidth="1"/>
    <col min="82" max="89" width="21.7109375" style="1931" hidden="1" customWidth="1"/>
    <col min="90" max="102" width="0.7109375" style="1931" hidden="1" customWidth="1"/>
    <col min="103" max="114" width="21.7109375" style="1931" customWidth="1"/>
    <col min="115" max="128" width="0.7109375" style="1931" customWidth="1"/>
    <col min="129" max="178" width="0.7109375" style="1931" hidden="1" customWidth="1"/>
    <col min="179" max="179" width="0.140625" style="1931" customWidth="1"/>
    <col min="180" max="184" width="9.140625" style="1931"/>
  </cols>
  <sheetData>
    <row r="1" spans="2:180" s="1924" customFormat="1" ht="12" hidden="1" customHeight="1">
      <c r="B1" s="837"/>
      <c r="C1" s="838"/>
      <c r="D1" s="838"/>
    </row>
    <row r="2" spans="2:180" s="1924" customFormat="1" ht="12" hidden="1" customHeight="1">
      <c r="B2" s="837"/>
      <c r="C2" s="838"/>
      <c r="D2" s="838"/>
      <c r="E2" s="838"/>
      <c r="F2" s="838"/>
      <c r="G2" s="838"/>
      <c r="H2" s="838"/>
      <c r="I2" s="838"/>
      <c r="J2" s="838"/>
      <c r="K2" s="838"/>
      <c r="L2" s="838"/>
      <c r="M2" s="838"/>
      <c r="N2" s="838"/>
      <c r="O2" s="838"/>
      <c r="P2" s="838"/>
      <c r="Q2" s="838"/>
      <c r="R2" s="838"/>
      <c r="S2" s="838"/>
      <c r="T2" s="838"/>
      <c r="U2" s="838"/>
      <c r="V2" s="838"/>
      <c r="W2" s="838"/>
      <c r="X2" s="838"/>
      <c r="Y2" s="838"/>
      <c r="Z2" s="838"/>
      <c r="AA2" s="838"/>
      <c r="AB2" s="839"/>
      <c r="AC2" s="838"/>
      <c r="AD2" s="838"/>
      <c r="AE2" s="838"/>
      <c r="AF2" s="838"/>
      <c r="AG2" s="838"/>
      <c r="AH2" s="838"/>
      <c r="AI2" s="838"/>
      <c r="AJ2" s="838"/>
      <c r="AK2" s="838"/>
      <c r="AL2" s="838"/>
      <c r="AM2" s="838"/>
      <c r="AN2" s="838"/>
      <c r="AO2" s="838"/>
      <c r="AP2" s="838"/>
      <c r="AQ2" s="838"/>
      <c r="AR2" s="838"/>
      <c r="AS2" s="838"/>
      <c r="AT2" s="838"/>
      <c r="AU2" s="838"/>
      <c r="AV2" s="838"/>
      <c r="AW2" s="838"/>
      <c r="AX2" s="838"/>
      <c r="AY2" s="838"/>
      <c r="AZ2" s="838"/>
      <c r="BA2" s="838"/>
      <c r="BB2" s="838"/>
      <c r="BC2" s="838"/>
      <c r="BD2" s="838"/>
      <c r="BE2" s="838"/>
      <c r="BF2" s="838"/>
      <c r="BG2" s="838"/>
      <c r="BH2" s="838"/>
      <c r="BI2" s="838"/>
      <c r="BJ2" s="838"/>
      <c r="BK2" s="838"/>
      <c r="BL2" s="838"/>
      <c r="BM2" s="838"/>
      <c r="BN2" s="838"/>
      <c r="BO2" s="838"/>
      <c r="BP2" s="838"/>
      <c r="BQ2" s="838"/>
      <c r="BR2" s="838"/>
      <c r="BS2" s="838"/>
      <c r="BT2" s="838"/>
      <c r="BU2" s="838"/>
      <c r="BV2" s="838"/>
      <c r="BW2" s="838"/>
      <c r="BX2" s="838"/>
      <c r="BY2" s="838"/>
      <c r="BZ2" s="838"/>
      <c r="CA2" s="838"/>
      <c r="CB2" s="838"/>
      <c r="CC2" s="838"/>
      <c r="CD2" s="838"/>
      <c r="CE2" s="838"/>
      <c r="CF2" s="838"/>
      <c r="CG2" s="838"/>
      <c r="CH2" s="838"/>
      <c r="CI2" s="838"/>
      <c r="CJ2" s="838"/>
      <c r="CK2" s="838"/>
      <c r="CL2" s="838"/>
      <c r="CM2" s="838"/>
      <c r="CN2" s="838"/>
      <c r="CO2" s="838"/>
      <c r="CP2" s="838"/>
      <c r="CQ2" s="838"/>
      <c r="CR2" s="838"/>
      <c r="CS2" s="838"/>
      <c r="CT2" s="838"/>
      <c r="CU2" s="838"/>
      <c r="CV2" s="838"/>
      <c r="CW2" s="838"/>
      <c r="CX2" s="838"/>
      <c r="CY2" s="838"/>
      <c r="CZ2" s="838"/>
      <c r="DA2" s="838"/>
      <c r="DB2" s="838"/>
      <c r="DC2" s="838"/>
      <c r="DD2" s="838"/>
      <c r="DE2" s="838"/>
      <c r="DF2" s="838"/>
      <c r="DG2" s="838"/>
      <c r="DH2" s="838"/>
      <c r="DI2" s="838"/>
      <c r="DJ2" s="838"/>
      <c r="DK2" s="838"/>
      <c r="DL2" s="838"/>
      <c r="DM2" s="838"/>
      <c r="DN2" s="838"/>
      <c r="DO2" s="838"/>
      <c r="DP2" s="838"/>
      <c r="DQ2" s="838"/>
      <c r="DR2" s="838"/>
      <c r="DS2" s="838"/>
      <c r="DT2" s="838"/>
      <c r="DU2" s="838"/>
      <c r="DV2" s="838"/>
      <c r="DW2" s="838"/>
      <c r="DX2" s="838"/>
      <c r="DY2" s="838"/>
      <c r="DZ2" s="838"/>
      <c r="EA2" s="838"/>
      <c r="EB2" s="838"/>
      <c r="EC2" s="838"/>
      <c r="ED2" s="838"/>
      <c r="EE2" s="838"/>
      <c r="EF2" s="838"/>
      <c r="EG2" s="838"/>
      <c r="EH2" s="838"/>
      <c r="EI2" s="838"/>
      <c r="EJ2" s="838"/>
      <c r="EK2" s="838"/>
      <c r="EL2" s="838"/>
      <c r="EM2" s="838"/>
      <c r="EN2" s="838"/>
      <c r="EO2" s="838"/>
      <c r="EP2" s="838"/>
      <c r="EQ2" s="838"/>
      <c r="ER2" s="838"/>
      <c r="ES2" s="838"/>
      <c r="ET2" s="838"/>
      <c r="EU2" s="838"/>
      <c r="EV2" s="838"/>
      <c r="EW2" s="838"/>
      <c r="EX2" s="838"/>
      <c r="EY2" s="838"/>
      <c r="EZ2" s="838"/>
      <c r="FA2" s="838"/>
      <c r="FB2" s="838"/>
      <c r="FC2" s="838"/>
      <c r="FD2" s="838"/>
      <c r="FE2" s="838"/>
      <c r="FF2" s="838"/>
      <c r="FG2" s="838"/>
      <c r="FH2" s="838"/>
      <c r="FI2" s="838"/>
      <c r="FJ2" s="838"/>
      <c r="FK2" s="838"/>
      <c r="FL2" s="838"/>
      <c r="FM2" s="838"/>
      <c r="FN2" s="838"/>
      <c r="FO2" s="838"/>
      <c r="FP2" s="838"/>
      <c r="FQ2" s="838"/>
      <c r="FR2" s="838"/>
      <c r="FS2" s="838"/>
      <c r="FT2" s="838"/>
      <c r="FU2" s="838"/>
      <c r="FV2" s="838"/>
      <c r="FW2" s="838"/>
    </row>
    <row r="3" spans="2:180" s="1924" customFormat="1" ht="12" hidden="1" customHeight="1">
      <c r="B3" s="837"/>
      <c r="C3" s="838"/>
      <c r="D3" s="838"/>
      <c r="E3" s="838"/>
      <c r="F3" s="838"/>
      <c r="G3" s="838"/>
      <c r="H3" s="838"/>
      <c r="I3" s="838"/>
      <c r="J3" s="838"/>
      <c r="K3" s="838"/>
      <c r="L3" s="838"/>
      <c r="M3" s="838"/>
      <c r="N3" s="838"/>
      <c r="O3" s="838"/>
      <c r="P3" s="838"/>
      <c r="Q3" s="838"/>
      <c r="R3" s="838"/>
      <c r="S3" s="838"/>
      <c r="T3" s="838"/>
      <c r="U3" s="838"/>
      <c r="V3" s="838"/>
      <c r="W3" s="838"/>
      <c r="X3" s="838"/>
      <c r="Y3" s="838"/>
      <c r="Z3" s="838"/>
      <c r="AA3" s="838"/>
      <c r="AB3" s="839"/>
      <c r="AC3" s="838"/>
      <c r="AD3" s="838"/>
      <c r="AE3" s="838"/>
      <c r="AF3" s="838"/>
      <c r="AG3" s="838"/>
      <c r="AH3" s="838"/>
      <c r="AI3" s="838"/>
      <c r="AJ3" s="838"/>
      <c r="AK3" s="838"/>
      <c r="AL3" s="838"/>
      <c r="AM3" s="838"/>
      <c r="AN3" s="838"/>
      <c r="AO3" s="838"/>
      <c r="AP3" s="838"/>
      <c r="AQ3" s="838"/>
      <c r="AR3" s="838"/>
      <c r="AS3" s="838"/>
      <c r="AT3" s="838"/>
      <c r="AU3" s="838"/>
      <c r="AV3" s="838"/>
      <c r="AW3" s="838"/>
      <c r="AX3" s="838"/>
      <c r="AY3" s="838"/>
      <c r="AZ3" s="838"/>
      <c r="BA3" s="838"/>
      <c r="BB3" s="838"/>
      <c r="BC3" s="838"/>
      <c r="BD3" s="838"/>
      <c r="BE3" s="838"/>
      <c r="BF3" s="838"/>
      <c r="BG3" s="838"/>
      <c r="BH3" s="838"/>
      <c r="BI3" s="838"/>
      <c r="BJ3" s="838"/>
      <c r="BK3" s="838"/>
      <c r="BL3" s="838"/>
      <c r="BM3" s="838"/>
      <c r="BN3" s="838"/>
      <c r="BO3" s="838"/>
      <c r="BP3" s="838"/>
      <c r="BQ3" s="838"/>
      <c r="BR3" s="838"/>
      <c r="BS3" s="838"/>
      <c r="BT3" s="838"/>
      <c r="BU3" s="838"/>
      <c r="BV3" s="838"/>
      <c r="BW3" s="838"/>
      <c r="BX3" s="838"/>
      <c r="BY3" s="838"/>
      <c r="BZ3" s="838"/>
      <c r="CA3" s="838"/>
      <c r="CB3" s="838"/>
      <c r="CC3" s="838"/>
      <c r="CD3" s="838"/>
      <c r="CE3" s="838"/>
      <c r="CF3" s="838"/>
      <c r="CG3" s="838"/>
      <c r="CH3" s="838"/>
      <c r="CI3" s="838"/>
      <c r="CJ3" s="838"/>
      <c r="CK3" s="838"/>
      <c r="CL3" s="838"/>
      <c r="CM3" s="838"/>
      <c r="CN3" s="838"/>
      <c r="CO3" s="838"/>
      <c r="CP3" s="838"/>
      <c r="CQ3" s="838"/>
      <c r="CR3" s="838"/>
      <c r="CS3" s="838"/>
      <c r="CT3" s="838"/>
      <c r="CU3" s="838"/>
      <c r="CV3" s="838"/>
      <c r="CW3" s="838"/>
      <c r="CX3" s="838"/>
      <c r="CY3" s="838"/>
      <c r="CZ3" s="838"/>
      <c r="DA3" s="838"/>
      <c r="DB3" s="838"/>
      <c r="DC3" s="838"/>
      <c r="DD3" s="838"/>
      <c r="DE3" s="838"/>
      <c r="DF3" s="838"/>
      <c r="DG3" s="838"/>
      <c r="DH3" s="838"/>
      <c r="DI3" s="838"/>
      <c r="DJ3" s="838"/>
      <c r="DK3" s="838"/>
      <c r="DL3" s="838"/>
      <c r="DM3" s="838"/>
      <c r="DN3" s="838"/>
      <c r="DO3" s="838"/>
      <c r="DP3" s="838"/>
      <c r="DQ3" s="838"/>
      <c r="DR3" s="838"/>
      <c r="DS3" s="838"/>
      <c r="DT3" s="838"/>
      <c r="DU3" s="838"/>
      <c r="DV3" s="838"/>
      <c r="DW3" s="838"/>
      <c r="DX3" s="838"/>
      <c r="DY3" s="838"/>
      <c r="DZ3" s="838"/>
      <c r="EA3" s="838"/>
      <c r="EB3" s="838"/>
      <c r="EC3" s="838"/>
      <c r="ED3" s="838"/>
      <c r="EE3" s="838"/>
      <c r="EF3" s="838"/>
      <c r="EG3" s="838"/>
      <c r="EH3" s="838"/>
      <c r="EI3" s="838"/>
      <c r="EJ3" s="838"/>
      <c r="EK3" s="838"/>
      <c r="EL3" s="838"/>
      <c r="EM3" s="838"/>
      <c r="EN3" s="838"/>
      <c r="EO3" s="838"/>
      <c r="EP3" s="838"/>
      <c r="EQ3" s="838"/>
      <c r="ER3" s="838"/>
      <c r="ES3" s="838"/>
      <c r="ET3" s="838"/>
      <c r="EU3" s="838"/>
      <c r="EV3" s="838"/>
      <c r="EW3" s="838"/>
      <c r="EX3" s="838"/>
      <c r="EY3" s="838"/>
      <c r="EZ3" s="838"/>
      <c r="FA3" s="838"/>
      <c r="FB3" s="838"/>
      <c r="FC3" s="838"/>
      <c r="FD3" s="838"/>
      <c r="FE3" s="838"/>
      <c r="FF3" s="838"/>
      <c r="FG3" s="838"/>
      <c r="FH3" s="838"/>
      <c r="FI3" s="838"/>
      <c r="FJ3" s="838"/>
      <c r="FK3" s="838"/>
      <c r="FL3" s="838"/>
      <c r="FM3" s="838"/>
      <c r="FN3" s="838"/>
      <c r="FO3" s="838"/>
      <c r="FP3" s="838"/>
      <c r="FQ3" s="838"/>
      <c r="FR3" s="838"/>
      <c r="FS3" s="838"/>
      <c r="FT3" s="838"/>
      <c r="FU3" s="838"/>
      <c r="FV3" s="838"/>
      <c r="FW3" s="838"/>
    </row>
    <row r="4" spans="2:180" ht="10.5" customHeight="1">
      <c r="B4" s="840"/>
      <c r="C4" s="841"/>
      <c r="D4" s="841"/>
      <c r="E4" s="841"/>
      <c r="F4" s="841"/>
      <c r="G4" s="841"/>
      <c r="H4" s="842"/>
      <c r="I4" s="842"/>
      <c r="J4" s="842"/>
      <c r="K4" s="842"/>
      <c r="L4" s="842"/>
      <c r="M4" s="843"/>
      <c r="N4" s="843"/>
      <c r="O4" s="843"/>
      <c r="P4" s="843"/>
      <c r="Q4" s="843"/>
      <c r="R4" s="843"/>
      <c r="S4" s="843"/>
      <c r="T4" s="843"/>
      <c r="U4" s="843"/>
      <c r="V4" s="843"/>
      <c r="W4" s="843"/>
      <c r="X4" s="843"/>
      <c r="Y4" s="843"/>
      <c r="Z4" s="843"/>
      <c r="AA4" s="843"/>
      <c r="AB4" s="843"/>
      <c r="AC4" s="843"/>
      <c r="AD4" s="843"/>
      <c r="AE4" s="843"/>
      <c r="AF4" s="843"/>
      <c r="AG4" s="843"/>
      <c r="AH4" s="843"/>
      <c r="AI4" s="843"/>
      <c r="AJ4" s="843"/>
      <c r="AK4" s="843"/>
      <c r="AL4" s="843"/>
      <c r="AM4" s="843"/>
      <c r="AN4" s="843"/>
      <c r="AO4" s="843"/>
      <c r="AP4" s="843"/>
      <c r="AQ4" s="843"/>
      <c r="AR4" s="843"/>
      <c r="AS4" s="843"/>
      <c r="AT4" s="843"/>
      <c r="AU4" s="843"/>
      <c r="AV4" s="843"/>
      <c r="AW4" s="843"/>
      <c r="AX4" s="843"/>
      <c r="AY4" s="843"/>
      <c r="AZ4" s="843"/>
      <c r="BA4" s="843"/>
      <c r="BB4" s="843"/>
      <c r="BC4" s="843"/>
      <c r="BD4" s="843"/>
      <c r="BE4" s="843"/>
      <c r="BF4" s="843"/>
      <c r="BG4" s="843"/>
      <c r="BH4" s="843"/>
      <c r="BI4" s="843"/>
      <c r="BJ4" s="843"/>
      <c r="BK4" s="843"/>
      <c r="BL4" s="843"/>
      <c r="BM4" s="843"/>
      <c r="BN4" s="843"/>
      <c r="BO4" s="843"/>
      <c r="BP4" s="843"/>
      <c r="BQ4" s="843"/>
      <c r="BR4" s="843"/>
      <c r="BS4" s="843"/>
      <c r="BT4" s="843"/>
      <c r="BU4" s="843"/>
      <c r="BV4" s="843"/>
      <c r="BW4" s="843"/>
      <c r="BX4" s="843"/>
      <c r="BY4" s="843"/>
      <c r="BZ4" s="843"/>
      <c r="CA4" s="843"/>
      <c r="CB4" s="843"/>
      <c r="CC4" s="843"/>
      <c r="CD4" s="843"/>
      <c r="CE4" s="843"/>
      <c r="CF4" s="843"/>
      <c r="CG4" s="843"/>
      <c r="CH4" s="843"/>
      <c r="CI4" s="843"/>
      <c r="CJ4" s="843"/>
      <c r="CK4" s="843"/>
      <c r="CL4" s="843"/>
      <c r="CM4" s="843"/>
      <c r="CN4" s="843"/>
      <c r="CO4" s="843"/>
      <c r="CP4" s="843"/>
      <c r="CQ4" s="843"/>
      <c r="CR4" s="843"/>
      <c r="CS4" s="843"/>
      <c r="CT4" s="843"/>
      <c r="CU4" s="843"/>
      <c r="CV4" s="843"/>
      <c r="CW4" s="843"/>
      <c r="CX4" s="843"/>
      <c r="CY4" s="843"/>
      <c r="CZ4" s="843"/>
      <c r="DA4" s="843"/>
      <c r="DB4" s="843"/>
      <c r="DC4" s="843"/>
      <c r="DD4" s="843"/>
      <c r="DE4" s="843"/>
      <c r="DF4" s="843"/>
      <c r="DG4" s="843"/>
      <c r="DH4" s="843"/>
      <c r="DI4" s="843"/>
      <c r="DJ4" s="843"/>
      <c r="DK4" s="843"/>
      <c r="DL4" s="843"/>
      <c r="DM4" s="843"/>
      <c r="DN4" s="843"/>
      <c r="DO4" s="843"/>
      <c r="DP4" s="843"/>
      <c r="DQ4" s="843"/>
      <c r="DR4" s="843"/>
      <c r="DS4" s="843"/>
      <c r="DT4" s="843"/>
      <c r="DU4" s="843"/>
      <c r="DV4" s="843"/>
      <c r="DW4" s="843"/>
      <c r="DX4" s="843"/>
      <c r="DY4" s="843"/>
      <c r="DZ4" s="843"/>
      <c r="EA4" s="843"/>
      <c r="EB4" s="843"/>
      <c r="EC4" s="843"/>
      <c r="ED4" s="843"/>
      <c r="EE4" s="843"/>
      <c r="EF4" s="843"/>
      <c r="EG4" s="843"/>
      <c r="EH4" s="843"/>
      <c r="EI4" s="843"/>
      <c r="EJ4" s="843"/>
      <c r="EK4" s="843"/>
      <c r="EL4" s="843"/>
      <c r="EM4" s="843"/>
      <c r="EN4" s="843"/>
      <c r="EO4" s="843"/>
      <c r="EP4" s="843"/>
      <c r="EQ4" s="843"/>
      <c r="ER4" s="843"/>
      <c r="ES4" s="843"/>
      <c r="ET4" s="843"/>
      <c r="EU4" s="843"/>
      <c r="EV4" s="843"/>
      <c r="EW4" s="843"/>
      <c r="EX4" s="843"/>
      <c r="EY4" s="843"/>
      <c r="EZ4" s="843"/>
      <c r="FA4" s="843"/>
      <c r="FB4" s="843"/>
      <c r="FC4" s="843"/>
      <c r="FD4" s="843"/>
      <c r="FE4" s="843"/>
      <c r="FF4" s="843"/>
      <c r="FG4" s="843"/>
      <c r="FH4" s="843"/>
      <c r="FI4" s="843"/>
      <c r="FJ4" s="843"/>
      <c r="FK4" s="843"/>
      <c r="FL4" s="843"/>
      <c r="FM4" s="843"/>
      <c r="FN4" s="843"/>
      <c r="FO4" s="843"/>
      <c r="FP4" s="843"/>
      <c r="FQ4" s="843"/>
      <c r="FR4" s="843"/>
      <c r="FS4" s="843"/>
      <c r="FT4" s="843"/>
      <c r="FU4" s="843"/>
      <c r="FV4" s="843"/>
      <c r="FW4" s="843"/>
    </row>
    <row r="5" spans="2:180" s="1926" customFormat="1" ht="25.5" customHeight="1">
      <c r="B5" s="1784"/>
      <c r="E5" s="1785"/>
      <c r="F5" s="2290" t="str">
        <f>IP_NAME_FORM&amp;"
Показатели качества, надежности и энергетической эффективности в сфере "&amp;TEMPLATE_SPHERE_RUS&amp;" на "&amp;TITLE_FIL_YEAR&amp;" год"</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 на 2024 год</v>
      </c>
      <c r="G5" s="2063"/>
      <c r="H5" s="2063"/>
      <c r="I5" s="2063"/>
      <c r="J5" s="2063"/>
      <c r="K5" s="2063"/>
      <c r="L5" s="2063"/>
      <c r="M5" s="2063"/>
      <c r="N5" s="2063"/>
      <c r="O5" s="2063"/>
      <c r="P5" s="2063"/>
      <c r="Q5" s="2063"/>
      <c r="R5" s="2063"/>
      <c r="S5" s="2063"/>
      <c r="T5" s="2063"/>
      <c r="U5" s="2063"/>
      <c r="V5" s="2063"/>
      <c r="W5" s="2063"/>
      <c r="X5" s="2063"/>
      <c r="Y5" s="2063"/>
      <c r="Z5" s="2063"/>
      <c r="AA5" s="2063"/>
      <c r="AB5" s="2063"/>
      <c r="AC5" s="2063"/>
      <c r="AD5" s="2063"/>
      <c r="AE5" s="2063"/>
      <c r="AF5" s="2063"/>
      <c r="AG5" s="2063"/>
      <c r="AH5" s="2063"/>
      <c r="AI5" s="2063"/>
      <c r="AJ5" s="2063"/>
      <c r="AK5" s="2063"/>
      <c r="AL5" s="2063"/>
      <c r="AM5" s="2063"/>
      <c r="AN5" s="2063"/>
      <c r="AO5" s="2063"/>
      <c r="AP5" s="2063"/>
      <c r="AQ5" s="2063"/>
      <c r="AR5" s="2063"/>
      <c r="AS5" s="2063"/>
      <c r="AT5" s="2063"/>
      <c r="AU5" s="2063"/>
      <c r="AV5" s="2063"/>
      <c r="AW5" s="2063"/>
      <c r="AX5" s="2063"/>
      <c r="AY5" s="2063"/>
      <c r="AZ5" s="2063"/>
      <c r="BA5" s="2063"/>
      <c r="BB5" s="2063"/>
      <c r="BC5" s="2063"/>
      <c r="BD5" s="2063"/>
      <c r="BE5" s="2063"/>
      <c r="BF5" s="2063"/>
      <c r="BG5" s="2063"/>
      <c r="BH5" s="2063"/>
      <c r="BI5" s="2063"/>
      <c r="BJ5" s="2063"/>
      <c r="BK5" s="2063"/>
      <c r="BL5" s="2063"/>
      <c r="BM5" s="2063"/>
      <c r="BN5" s="2063"/>
      <c r="BO5" s="2063"/>
      <c r="BP5" s="2063"/>
      <c r="BQ5" s="2063"/>
      <c r="BR5" s="2063"/>
      <c r="BS5" s="2063"/>
    </row>
    <row r="6" spans="2:180" s="1927" customFormat="1" ht="18" customHeight="1">
      <c r="B6" s="855"/>
      <c r="E6" s="856"/>
      <c r="F6" s="2121" t="str">
        <f>IF(org=0,"Не определено",org)</f>
        <v>ООО "Горводоканал"</v>
      </c>
      <c r="G6" s="2122"/>
      <c r="H6" s="2122"/>
      <c r="I6" s="2122"/>
      <c r="J6" s="2122"/>
      <c r="K6" s="2122"/>
      <c r="L6" s="2122"/>
      <c r="M6" s="2122"/>
      <c r="N6" s="2122"/>
      <c r="O6" s="2122"/>
      <c r="P6" s="2122"/>
      <c r="Q6" s="2122"/>
      <c r="R6" s="2122"/>
      <c r="S6" s="2122"/>
      <c r="T6" s="2122"/>
      <c r="U6" s="2122"/>
      <c r="V6" s="2122"/>
      <c r="W6" s="2122"/>
      <c r="X6" s="2122"/>
      <c r="Y6" s="2122"/>
      <c r="Z6" s="2122"/>
      <c r="AA6" s="2122"/>
      <c r="AB6" s="2122"/>
      <c r="AC6" s="2122"/>
      <c r="AD6" s="2122"/>
      <c r="AE6" s="2122"/>
      <c r="AF6" s="2122"/>
      <c r="AG6" s="2122"/>
      <c r="AH6" s="2122"/>
      <c r="AI6" s="2122"/>
      <c r="AJ6" s="2122"/>
      <c r="AK6" s="2122"/>
      <c r="AL6" s="2122"/>
      <c r="AM6" s="2122"/>
      <c r="AN6" s="2122"/>
      <c r="AO6" s="2122"/>
      <c r="AP6" s="2122"/>
      <c r="AQ6" s="2122"/>
      <c r="AR6" s="2122"/>
      <c r="AS6" s="2122"/>
      <c r="AT6" s="2122"/>
      <c r="AU6" s="2122"/>
      <c r="AV6" s="2122"/>
      <c r="AW6" s="2122"/>
      <c r="AX6" s="2122"/>
      <c r="AY6" s="2122"/>
      <c r="AZ6" s="2122"/>
      <c r="BA6" s="2122"/>
      <c r="BB6" s="2122"/>
      <c r="BC6" s="2122"/>
      <c r="BD6" s="2122"/>
      <c r="BE6" s="2122"/>
      <c r="BF6" s="2122"/>
      <c r="BG6" s="2122"/>
      <c r="BH6" s="2122"/>
      <c r="BI6" s="2122"/>
      <c r="BJ6" s="2122"/>
      <c r="BK6" s="2122"/>
      <c r="BL6" s="2122"/>
      <c r="BM6" s="2122"/>
      <c r="BN6" s="2122"/>
      <c r="BO6" s="2122"/>
      <c r="BP6" s="2122"/>
      <c r="BQ6" s="2122"/>
      <c r="BR6" s="2122"/>
      <c r="BS6" s="2122"/>
    </row>
    <row r="7" spans="2:180" s="1928" customFormat="1" ht="10.5" customHeight="1">
      <c r="B7" s="844"/>
      <c r="E7" s="845"/>
      <c r="F7" s="845"/>
      <c r="G7" s="847"/>
      <c r="H7" s="842"/>
      <c r="I7" s="842"/>
      <c r="J7" s="842"/>
      <c r="K7" s="842"/>
      <c r="L7" s="842"/>
      <c r="M7" s="845"/>
      <c r="N7" s="845"/>
      <c r="O7" s="845"/>
      <c r="P7" s="845"/>
      <c r="Q7" s="845"/>
      <c r="R7" s="845"/>
      <c r="S7" s="845"/>
      <c r="T7" s="845"/>
      <c r="U7" s="845"/>
      <c r="V7" s="845"/>
      <c r="W7" s="845"/>
      <c r="X7" s="845"/>
      <c r="Y7" s="845"/>
      <c r="Z7" s="845"/>
      <c r="AA7" s="845"/>
      <c r="AB7" s="845"/>
      <c r="AC7" s="845"/>
      <c r="AD7" s="845"/>
      <c r="AE7" s="845"/>
      <c r="AF7" s="845"/>
      <c r="AG7" s="845"/>
      <c r="AH7" s="845"/>
      <c r="AI7" s="845"/>
      <c r="AJ7" s="845"/>
      <c r="AK7" s="845"/>
      <c r="AL7" s="845"/>
      <c r="AM7" s="845"/>
      <c r="AN7" s="845"/>
      <c r="AO7" s="845"/>
      <c r="AP7" s="845"/>
      <c r="AQ7" s="845"/>
      <c r="AR7" s="845"/>
      <c r="AS7" s="845"/>
      <c r="AT7" s="845"/>
      <c r="AU7" s="845"/>
      <c r="AV7" s="845"/>
      <c r="AW7" s="845"/>
      <c r="AX7" s="845"/>
      <c r="AY7" s="845"/>
      <c r="AZ7" s="845"/>
      <c r="BA7" s="845"/>
      <c r="BB7" s="845"/>
      <c r="BC7" s="845"/>
      <c r="BD7" s="845"/>
      <c r="BE7" s="845"/>
      <c r="BF7" s="845"/>
      <c r="BG7" s="845"/>
      <c r="BH7" s="845"/>
      <c r="BI7" s="845"/>
      <c r="BJ7" s="845"/>
      <c r="BK7" s="845"/>
      <c r="BL7" s="845"/>
      <c r="BM7" s="845"/>
      <c r="BN7" s="845"/>
      <c r="BO7" s="845"/>
      <c r="BP7" s="845"/>
      <c r="BQ7" s="845"/>
      <c r="BR7" s="845"/>
      <c r="BS7" s="845"/>
      <c r="BT7" s="845"/>
      <c r="BU7" s="845"/>
      <c r="BV7" s="845"/>
      <c r="BW7" s="845"/>
      <c r="BX7" s="845"/>
      <c r="BY7" s="845"/>
      <c r="BZ7" s="845"/>
      <c r="CA7" s="845"/>
      <c r="CB7" s="845"/>
      <c r="CC7" s="845"/>
      <c r="CD7" s="845"/>
      <c r="CE7" s="845"/>
      <c r="CF7" s="845"/>
      <c r="CG7" s="845"/>
      <c r="CH7" s="845"/>
      <c r="CI7" s="845"/>
      <c r="CJ7" s="845"/>
      <c r="CK7" s="845"/>
      <c r="CL7" s="845"/>
      <c r="CM7" s="845"/>
      <c r="CN7" s="845"/>
      <c r="CO7" s="845"/>
      <c r="CP7" s="845"/>
      <c r="CQ7" s="845"/>
      <c r="CR7" s="845"/>
      <c r="CS7" s="845"/>
      <c r="CT7" s="845"/>
      <c r="CU7" s="845"/>
      <c r="CV7" s="845"/>
      <c r="CW7" s="845"/>
      <c r="CX7" s="845"/>
      <c r="CY7" s="845"/>
      <c r="CZ7" s="845"/>
      <c r="DA7" s="845"/>
      <c r="DB7" s="845"/>
      <c r="DC7" s="845"/>
      <c r="DD7" s="845"/>
      <c r="DE7" s="845"/>
      <c r="DF7" s="845"/>
      <c r="DG7" s="845"/>
      <c r="DH7" s="845"/>
      <c r="DI7" s="845"/>
      <c r="DJ7" s="845"/>
      <c r="DK7" s="845"/>
      <c r="DL7" s="845"/>
      <c r="DM7" s="845"/>
      <c r="DN7" s="845"/>
      <c r="DO7" s="845"/>
      <c r="DP7" s="845"/>
      <c r="DQ7" s="845"/>
      <c r="DR7" s="845"/>
      <c r="DS7" s="845"/>
      <c r="DT7" s="845"/>
      <c r="DU7" s="845"/>
      <c r="DV7" s="845"/>
      <c r="DW7" s="845"/>
      <c r="DX7" s="845"/>
      <c r="DY7" s="845"/>
      <c r="DZ7" s="845"/>
      <c r="EA7" s="845"/>
      <c r="EB7" s="845"/>
      <c r="EC7" s="845"/>
      <c r="ED7" s="845"/>
      <c r="EE7" s="845"/>
      <c r="EF7" s="845"/>
      <c r="EG7" s="845"/>
      <c r="EH7" s="845"/>
      <c r="EI7" s="845"/>
      <c r="EJ7" s="845"/>
      <c r="EK7" s="845"/>
      <c r="EL7" s="845"/>
      <c r="EM7" s="845"/>
      <c r="EN7" s="845"/>
      <c r="EO7" s="845"/>
      <c r="EP7" s="845"/>
      <c r="EQ7" s="845"/>
      <c r="ER7" s="845"/>
      <c r="ES7" s="845"/>
      <c r="ET7" s="845"/>
      <c r="EU7" s="845"/>
      <c r="EV7" s="845"/>
      <c r="EW7" s="845"/>
      <c r="EX7" s="845"/>
      <c r="EY7" s="845"/>
      <c r="EZ7" s="845"/>
      <c r="FA7" s="845"/>
      <c r="FB7" s="845"/>
      <c r="FC7" s="845"/>
      <c r="FD7" s="845"/>
      <c r="FE7" s="845"/>
      <c r="FF7" s="845"/>
      <c r="FG7" s="845"/>
      <c r="FH7" s="845"/>
      <c r="FI7" s="845"/>
      <c r="FJ7" s="845"/>
      <c r="FK7" s="845"/>
      <c r="FL7" s="845"/>
      <c r="FM7" s="845"/>
      <c r="FN7" s="845"/>
      <c r="FO7" s="845"/>
      <c r="FP7" s="845"/>
      <c r="FQ7" s="845"/>
      <c r="FR7" s="845"/>
      <c r="FS7" s="845"/>
      <c r="FT7" s="845"/>
      <c r="FU7" s="845"/>
      <c r="FV7" s="845"/>
      <c r="FW7" s="845"/>
    </row>
    <row r="8" spans="2:180" s="1929" customFormat="1" ht="11.25" hidden="1" customHeight="1">
      <c r="B8" s="846"/>
      <c r="F8" s="965"/>
      <c r="G8" s="681"/>
      <c r="H8" s="284"/>
      <c r="I8" s="284"/>
      <c r="J8" s="284"/>
      <c r="K8" s="284"/>
      <c r="L8" s="284"/>
      <c r="M8" s="965"/>
      <c r="N8" s="965"/>
      <c r="O8" s="2278" t="s">
        <v>948</v>
      </c>
      <c r="P8" s="2279"/>
      <c r="Q8" s="2279"/>
      <c r="R8" s="2279"/>
      <c r="S8" s="2279"/>
      <c r="T8" s="2279"/>
      <c r="U8" s="2279"/>
      <c r="V8" s="2279"/>
      <c r="W8" s="2279"/>
      <c r="X8" s="2279"/>
      <c r="Y8" s="2279"/>
      <c r="Z8" s="2279"/>
      <c r="AA8" s="2279"/>
      <c r="AB8" s="2279"/>
      <c r="AC8" s="2279"/>
      <c r="AD8" s="2279"/>
      <c r="AE8" s="2279"/>
      <c r="AF8" s="2279"/>
      <c r="AG8" s="2279"/>
      <c r="AH8" s="2279"/>
      <c r="AI8" s="2279"/>
      <c r="AJ8" s="2279"/>
      <c r="AK8" s="2279"/>
      <c r="AL8" s="2279"/>
      <c r="AM8" s="2279"/>
      <c r="AN8" s="2279"/>
      <c r="AO8" s="2279"/>
      <c r="AP8" s="2279"/>
      <c r="AQ8" s="2279"/>
      <c r="AR8" s="2279"/>
      <c r="AS8" s="2279"/>
      <c r="AT8" s="2279"/>
      <c r="AU8" s="2279"/>
      <c r="AV8" s="2279"/>
      <c r="AW8" s="2279"/>
      <c r="AX8" s="2279"/>
      <c r="AY8" s="2279"/>
      <c r="AZ8" s="2279"/>
      <c r="BA8" s="2279"/>
      <c r="BB8" s="2279"/>
      <c r="BC8" s="2279"/>
      <c r="BD8" s="2279"/>
      <c r="BE8" s="2279"/>
      <c r="BF8" s="2279"/>
      <c r="BG8" s="2279"/>
      <c r="BH8" s="2279"/>
      <c r="BI8" s="2279"/>
      <c r="BJ8" s="2279"/>
      <c r="BK8" s="2279"/>
      <c r="BL8" s="2279"/>
      <c r="BM8" s="2279"/>
      <c r="BN8" s="2279"/>
      <c r="BO8" s="2279"/>
      <c r="BP8" s="2279"/>
      <c r="BQ8" s="2279"/>
      <c r="BR8" s="2279"/>
      <c r="BS8" s="2280"/>
      <c r="BT8" s="2281"/>
      <c r="BU8" s="2282"/>
      <c r="BV8" s="2282"/>
      <c r="BW8" s="2282"/>
      <c r="BX8" s="2282"/>
      <c r="BY8" s="2282"/>
      <c r="BZ8" s="2282"/>
      <c r="CA8" s="2282"/>
      <c r="CB8" s="2282"/>
      <c r="CC8" s="2282"/>
      <c r="CD8" s="2282"/>
      <c r="CE8" s="2282"/>
      <c r="CF8" s="2282"/>
      <c r="CG8" s="2282"/>
      <c r="CH8" s="2282"/>
      <c r="CI8" s="2282"/>
      <c r="CJ8" s="2282"/>
      <c r="CK8" s="2282"/>
      <c r="CL8" s="2282"/>
      <c r="CM8" s="2282"/>
      <c r="CN8" s="2282"/>
      <c r="CO8" s="2282"/>
      <c r="CP8" s="2282"/>
      <c r="CQ8" s="2282"/>
      <c r="CR8" s="2282"/>
      <c r="CS8" s="2282"/>
      <c r="CT8" s="2282"/>
      <c r="CU8" s="2282"/>
      <c r="CV8" s="2282"/>
      <c r="CW8" s="2282"/>
      <c r="CX8" s="2283"/>
      <c r="CY8" s="2284"/>
      <c r="CZ8" s="2285"/>
      <c r="DA8" s="2285"/>
      <c r="DB8" s="2285"/>
      <c r="DC8" s="2285"/>
      <c r="DD8" s="2285"/>
      <c r="DE8" s="2285"/>
      <c r="DF8" s="2285"/>
      <c r="DG8" s="2285"/>
      <c r="DH8" s="2285"/>
      <c r="DI8" s="2285"/>
      <c r="DJ8" s="2285"/>
      <c r="DK8" s="2285"/>
      <c r="DL8" s="2285"/>
      <c r="DM8" s="2285"/>
      <c r="DN8" s="2285"/>
      <c r="DO8" s="2285"/>
      <c r="DP8" s="2285"/>
      <c r="DQ8" s="2285"/>
      <c r="DR8" s="2285"/>
      <c r="DS8" s="2285"/>
      <c r="DT8" s="2285"/>
      <c r="DU8" s="2285"/>
      <c r="DV8" s="2285"/>
      <c r="DW8" s="2285"/>
      <c r="DX8" s="2286"/>
      <c r="DY8" s="2272" t="s">
        <v>949</v>
      </c>
      <c r="DZ8" s="2273"/>
      <c r="EA8" s="2273"/>
      <c r="EB8" s="2273"/>
      <c r="EC8" s="2273"/>
      <c r="ED8" s="2273"/>
      <c r="EE8" s="2273"/>
      <c r="EF8" s="2273"/>
      <c r="EG8" s="2273"/>
      <c r="EH8" s="2273"/>
      <c r="EI8" s="2273"/>
      <c r="EJ8" s="2273"/>
      <c r="EK8" s="2273"/>
      <c r="EL8" s="2273"/>
      <c r="EM8" s="2273"/>
      <c r="EN8" s="2273"/>
      <c r="EO8" s="2273"/>
      <c r="EP8" s="2273"/>
      <c r="EQ8" s="2273"/>
      <c r="ER8" s="2273"/>
      <c r="ES8" s="2273"/>
      <c r="ET8" s="2273"/>
      <c r="EU8" s="2273"/>
      <c r="EV8" s="2273"/>
      <c r="EW8" s="2273"/>
      <c r="EX8" s="2273"/>
      <c r="EY8" s="2273"/>
      <c r="EZ8" s="2273"/>
      <c r="FA8" s="2273"/>
      <c r="FB8" s="2273"/>
      <c r="FC8" s="2273"/>
      <c r="FD8" s="2273"/>
      <c r="FE8" s="2273"/>
      <c r="FF8" s="2273"/>
      <c r="FG8" s="2273"/>
      <c r="FH8" s="2273"/>
      <c r="FI8" s="2273"/>
      <c r="FJ8" s="2273"/>
      <c r="FK8" s="2273"/>
      <c r="FL8" s="2273"/>
      <c r="FM8" s="2273"/>
      <c r="FN8" s="2273"/>
      <c r="FO8" s="2273"/>
      <c r="FP8" s="2273"/>
      <c r="FQ8" s="2273"/>
      <c r="FR8" s="2273"/>
      <c r="FS8" s="2273"/>
      <c r="FT8" s="2273"/>
      <c r="FU8" s="2273"/>
      <c r="FV8" s="2273"/>
      <c r="FW8" s="2274"/>
      <c r="FX8" s="965"/>
    </row>
    <row r="9" spans="2:180" s="1929" customFormat="1" ht="11.25" hidden="1" customHeight="1">
      <c r="B9" s="846"/>
      <c r="F9" s="965"/>
      <c r="G9" s="681"/>
      <c r="H9" s="284"/>
      <c r="I9" s="284"/>
      <c r="J9" s="284"/>
      <c r="K9" s="284"/>
      <c r="L9" s="284"/>
      <c r="M9" s="965"/>
      <c r="N9" s="965"/>
      <c r="O9" s="965"/>
      <c r="P9" s="965"/>
      <c r="Q9" s="965"/>
      <c r="R9" s="965"/>
      <c r="S9" s="965"/>
      <c r="T9" s="965"/>
      <c r="U9" s="965"/>
      <c r="V9" s="965"/>
      <c r="W9" s="965"/>
      <c r="X9" s="965"/>
      <c r="Y9" s="965"/>
      <c r="Z9" s="965"/>
      <c r="AA9" s="965"/>
      <c r="AB9" s="965"/>
      <c r="AC9" s="965"/>
      <c r="AD9" s="965"/>
      <c r="AE9" s="965"/>
      <c r="AF9" s="965"/>
      <c r="AG9" s="965"/>
      <c r="AH9" s="965"/>
      <c r="AI9" s="965"/>
      <c r="AJ9" s="965"/>
      <c r="AK9" s="965"/>
      <c r="AL9" s="965"/>
      <c r="AM9" s="965"/>
      <c r="AN9" s="965"/>
      <c r="AO9" s="965"/>
      <c r="AP9" s="965"/>
      <c r="AQ9" s="965"/>
      <c r="AR9" s="965"/>
      <c r="AS9" s="965"/>
      <c r="AT9" s="965"/>
      <c r="AU9" s="965"/>
      <c r="AV9" s="965"/>
      <c r="AW9" s="965"/>
      <c r="AX9" s="965"/>
      <c r="AY9" s="965"/>
      <c r="AZ9" s="965"/>
      <c r="BA9" s="965"/>
      <c r="BB9" s="965"/>
      <c r="BC9" s="965"/>
      <c r="BD9" s="965"/>
      <c r="BE9" s="965"/>
      <c r="BF9" s="965"/>
      <c r="BG9" s="965"/>
      <c r="BH9" s="965"/>
      <c r="BI9" s="965"/>
      <c r="BJ9" s="965"/>
      <c r="BK9" s="965"/>
      <c r="BL9" s="965"/>
      <c r="BM9" s="965"/>
      <c r="BN9" s="965"/>
      <c r="BO9" s="965"/>
      <c r="BP9" s="965"/>
      <c r="BQ9" s="965"/>
      <c r="BR9" s="965"/>
      <c r="BS9" s="965"/>
      <c r="BT9" s="965"/>
      <c r="BU9" s="965"/>
      <c r="BV9" s="965"/>
      <c r="BW9" s="965"/>
      <c r="BX9" s="965"/>
      <c r="BY9" s="965"/>
      <c r="BZ9" s="965"/>
      <c r="CA9" s="965"/>
      <c r="CB9" s="965"/>
      <c r="CC9" s="965"/>
      <c r="CD9" s="965"/>
      <c r="CE9" s="965"/>
      <c r="CF9" s="965"/>
      <c r="CG9" s="965"/>
      <c r="CH9" s="965"/>
      <c r="CI9" s="965"/>
      <c r="CJ9" s="965"/>
      <c r="CK9" s="965"/>
      <c r="CL9" s="965"/>
      <c r="CM9" s="965"/>
      <c r="CN9" s="965"/>
      <c r="CO9" s="965"/>
      <c r="CP9" s="965"/>
      <c r="CQ9" s="965"/>
      <c r="CR9" s="965"/>
      <c r="CS9" s="965"/>
      <c r="CT9" s="965"/>
      <c r="CU9" s="965"/>
      <c r="CV9" s="965"/>
      <c r="CW9" s="965"/>
      <c r="CX9" s="965"/>
      <c r="CY9" s="965"/>
      <c r="CZ9" s="965"/>
      <c r="DA9" s="965"/>
      <c r="DB9" s="965"/>
      <c r="DC9" s="965"/>
      <c r="DD9" s="965"/>
      <c r="DE9" s="965"/>
      <c r="DF9" s="965"/>
      <c r="DG9" s="965"/>
      <c r="DH9" s="965"/>
      <c r="DI9" s="965"/>
      <c r="DJ9" s="965"/>
      <c r="DK9" s="965"/>
      <c r="DL9" s="965"/>
      <c r="DM9" s="965"/>
      <c r="DN9" s="965"/>
      <c r="DO9" s="965"/>
      <c r="DP9" s="965"/>
      <c r="DQ9" s="965"/>
      <c r="DR9" s="965"/>
      <c r="DS9" s="965"/>
      <c r="DT9" s="965"/>
      <c r="DU9" s="965"/>
      <c r="DV9" s="965"/>
      <c r="DW9" s="965"/>
      <c r="DX9" s="965"/>
      <c r="DY9" s="965"/>
      <c r="DZ9" s="965"/>
      <c r="EA9" s="965"/>
      <c r="EB9" s="965"/>
      <c r="EC9" s="965"/>
      <c r="ED9" s="965"/>
      <c r="EE9" s="965"/>
      <c r="EF9" s="965"/>
      <c r="EG9" s="965"/>
      <c r="EH9" s="965"/>
      <c r="EI9" s="965"/>
      <c r="EJ9" s="965"/>
      <c r="EK9" s="965"/>
      <c r="EL9" s="965"/>
      <c r="EM9" s="965"/>
      <c r="EN9" s="965"/>
      <c r="EO9" s="965"/>
      <c r="EP9" s="965"/>
      <c r="EQ9" s="965"/>
      <c r="ER9" s="965"/>
      <c r="ES9" s="965"/>
      <c r="ET9" s="965"/>
      <c r="EU9" s="965"/>
      <c r="EV9" s="965"/>
      <c r="EW9" s="965"/>
      <c r="EX9" s="965"/>
      <c r="EY9" s="965"/>
      <c r="EZ9" s="965"/>
      <c r="FA9" s="965"/>
      <c r="FB9" s="965"/>
      <c r="FC9" s="965"/>
      <c r="FD9" s="965"/>
      <c r="FE9" s="965"/>
      <c r="FF9" s="965"/>
      <c r="FG9" s="965"/>
      <c r="FH9" s="965"/>
      <c r="FI9" s="965"/>
      <c r="FJ9" s="965"/>
      <c r="FK9" s="965"/>
      <c r="FL9" s="965"/>
      <c r="FM9" s="965"/>
      <c r="FN9" s="965"/>
      <c r="FO9" s="965"/>
      <c r="FP9" s="965"/>
      <c r="FQ9" s="965"/>
      <c r="FR9" s="965"/>
      <c r="FS9" s="965"/>
      <c r="FT9" s="965"/>
      <c r="FU9" s="965"/>
      <c r="FV9" s="965"/>
      <c r="FW9" s="2275"/>
      <c r="FX9" s="965"/>
    </row>
    <row r="10" spans="2:180" s="1929" customFormat="1" ht="11.25" customHeight="1">
      <c r="B10" s="846"/>
      <c r="F10" s="2248" t="s">
        <v>268</v>
      </c>
      <c r="G10" s="2288"/>
      <c r="H10" s="2288"/>
      <c r="I10" s="2288"/>
      <c r="J10" s="2288"/>
      <c r="K10" s="2288"/>
      <c r="L10" s="2288"/>
      <c r="M10" s="2288"/>
      <c r="N10" s="2288"/>
      <c r="O10" s="2288"/>
      <c r="P10" s="2288"/>
      <c r="Q10" s="2288"/>
      <c r="R10" s="2288"/>
      <c r="S10" s="2288"/>
      <c r="T10" s="2288"/>
      <c r="U10" s="2288"/>
      <c r="V10" s="2288"/>
      <c r="W10" s="2288"/>
      <c r="X10" s="2288"/>
      <c r="Y10" s="2288"/>
      <c r="Z10" s="2288"/>
      <c r="AA10" s="2288"/>
      <c r="AB10" s="2288"/>
      <c r="AC10" s="2288"/>
      <c r="AD10" s="2288"/>
      <c r="AE10" s="2288"/>
      <c r="AF10" s="2288"/>
      <c r="AG10" s="2288"/>
      <c r="AH10" s="2288"/>
      <c r="AI10" s="2288"/>
      <c r="AJ10" s="2288"/>
      <c r="AK10" s="2288"/>
      <c r="AL10" s="2288"/>
      <c r="AM10" s="2288"/>
      <c r="AN10" s="2288"/>
      <c r="AO10" s="2288"/>
      <c r="AP10" s="2288"/>
      <c r="AQ10" s="2288"/>
      <c r="AR10" s="2288"/>
      <c r="AS10" s="2288"/>
      <c r="AT10" s="2288"/>
      <c r="AU10" s="2288"/>
      <c r="AV10" s="2288"/>
      <c r="AW10" s="2288"/>
      <c r="AX10" s="2288"/>
      <c r="AY10" s="2288"/>
      <c r="AZ10" s="2288"/>
      <c r="BA10" s="2288"/>
      <c r="BB10" s="2288"/>
      <c r="BC10" s="2288"/>
      <c r="BD10" s="2288"/>
      <c r="BE10" s="2288"/>
      <c r="BF10" s="2288"/>
      <c r="BG10" s="2288"/>
      <c r="BH10" s="2288"/>
      <c r="BI10" s="2288"/>
      <c r="BJ10" s="2288"/>
      <c r="BK10" s="2288"/>
      <c r="BL10" s="2288"/>
      <c r="BM10" s="2288"/>
      <c r="BN10" s="2288"/>
      <c r="BO10" s="2288"/>
      <c r="BP10" s="2288"/>
      <c r="BQ10" s="2288"/>
      <c r="BR10" s="2288"/>
      <c r="BS10" s="2288"/>
      <c r="BT10" s="2288"/>
      <c r="BU10" s="2288"/>
      <c r="BV10" s="2288"/>
      <c r="BW10" s="2288"/>
      <c r="BX10" s="2288"/>
      <c r="BY10" s="2288"/>
      <c r="BZ10" s="2288"/>
      <c r="CA10" s="2288"/>
      <c r="CB10" s="2288"/>
      <c r="CC10" s="2288"/>
      <c r="CD10" s="2288"/>
      <c r="CE10" s="2288"/>
      <c r="CF10" s="2288"/>
      <c r="CG10" s="2288"/>
      <c r="CH10" s="2288"/>
      <c r="CI10" s="2288"/>
      <c r="CJ10" s="2288"/>
      <c r="CK10" s="2288"/>
      <c r="CL10" s="2288"/>
      <c r="CM10" s="2288"/>
      <c r="CN10" s="2288"/>
      <c r="CO10" s="2288"/>
      <c r="CP10" s="2288"/>
      <c r="CQ10" s="2288"/>
      <c r="CR10" s="2288"/>
      <c r="CS10" s="2288"/>
      <c r="CT10" s="2288"/>
      <c r="CU10" s="2288"/>
      <c r="CV10" s="2288"/>
      <c r="CW10" s="2288"/>
      <c r="CX10" s="2288"/>
      <c r="CY10" s="2288"/>
      <c r="CZ10" s="2288"/>
      <c r="DA10" s="2288"/>
      <c r="DB10" s="2288"/>
      <c r="DC10" s="2288"/>
      <c r="DD10" s="2288"/>
      <c r="DE10" s="2288"/>
      <c r="DF10" s="2288"/>
      <c r="DG10" s="2288"/>
      <c r="DH10" s="2288"/>
      <c r="DI10" s="2288"/>
      <c r="DJ10" s="2288"/>
      <c r="DK10" s="2288"/>
      <c r="DL10" s="2288"/>
      <c r="DM10" s="2288"/>
      <c r="DN10" s="2288"/>
      <c r="DO10" s="2288"/>
      <c r="DP10" s="2288"/>
      <c r="DQ10" s="2288"/>
      <c r="DR10" s="2288"/>
      <c r="DS10" s="2288"/>
      <c r="DT10" s="2288"/>
      <c r="DU10" s="2288"/>
      <c r="DV10" s="2288"/>
      <c r="DW10" s="2288"/>
      <c r="DX10" s="2288"/>
      <c r="DY10" s="2288"/>
      <c r="DZ10" s="2288"/>
      <c r="EA10" s="2288"/>
      <c r="EB10" s="2288"/>
      <c r="EC10" s="2288"/>
      <c r="ED10" s="2288"/>
      <c r="EE10" s="2288"/>
      <c r="EF10" s="2288"/>
      <c r="EG10" s="2288"/>
      <c r="EH10" s="2288"/>
      <c r="EI10" s="2288"/>
      <c r="EJ10" s="2288"/>
      <c r="EK10" s="2288"/>
      <c r="EL10" s="2288"/>
      <c r="EM10" s="2288"/>
      <c r="EN10" s="2288"/>
      <c r="EO10" s="2288"/>
      <c r="EP10" s="2288"/>
      <c r="EQ10" s="2288"/>
      <c r="ER10" s="2288"/>
      <c r="ES10" s="2288"/>
      <c r="ET10" s="2288"/>
      <c r="EU10" s="2288"/>
      <c r="EV10" s="2288"/>
      <c r="EW10" s="2288"/>
      <c r="EX10" s="2288"/>
      <c r="EY10" s="2288"/>
      <c r="EZ10" s="2288"/>
      <c r="FA10" s="2288"/>
      <c r="FB10" s="2288"/>
      <c r="FC10" s="2288"/>
      <c r="FD10" s="2288"/>
      <c r="FE10" s="2288"/>
      <c r="FF10" s="2288"/>
      <c r="FG10" s="2288"/>
      <c r="FH10" s="2288"/>
      <c r="FI10" s="2288"/>
      <c r="FJ10" s="2288"/>
      <c r="FK10" s="2288"/>
      <c r="FL10" s="2288"/>
      <c r="FM10" s="2288"/>
      <c r="FN10" s="2288"/>
      <c r="FO10" s="2288"/>
      <c r="FP10" s="2288"/>
      <c r="FQ10" s="2288"/>
      <c r="FR10" s="2288"/>
      <c r="FS10" s="2288"/>
      <c r="FT10" s="2288"/>
      <c r="FU10" s="2288"/>
      <c r="FV10" s="2289"/>
      <c r="FW10" s="2275"/>
      <c r="FX10" s="965"/>
    </row>
    <row r="11" spans="2:180" ht="12" customHeight="1">
      <c r="E11" s="848"/>
      <c r="F11" s="2102" t="s">
        <v>73</v>
      </c>
      <c r="G11" s="2102" t="s">
        <v>950</v>
      </c>
      <c r="H11" s="2102" t="s">
        <v>951</v>
      </c>
      <c r="I11" s="2102" t="s">
        <v>952</v>
      </c>
      <c r="J11" s="2287"/>
      <c r="K11" s="2287"/>
      <c r="L11" s="2287"/>
      <c r="M11" s="2287"/>
      <c r="N11" s="2287"/>
      <c r="O11" s="2107" t="s">
        <v>953</v>
      </c>
      <c r="P11" s="2107"/>
      <c r="Q11" s="2107"/>
      <c r="R11" s="2107"/>
      <c r="S11" s="2107"/>
      <c r="T11" s="2107"/>
      <c r="U11" s="2107"/>
      <c r="V11" s="2107"/>
      <c r="W11" s="2107"/>
      <c r="X11" s="2107"/>
      <c r="Y11" s="2107"/>
      <c r="Z11" s="2107"/>
      <c r="AA11" s="2107"/>
      <c r="AB11" s="2107"/>
      <c r="AC11" s="2269"/>
      <c r="AD11" s="2269"/>
      <c r="AE11" s="2269"/>
      <c r="AF11" s="2269"/>
      <c r="AG11" s="2269"/>
      <c r="AH11" s="2269"/>
      <c r="AI11" s="2269"/>
      <c r="AJ11" s="2269"/>
      <c r="AK11" s="2269"/>
      <c r="AL11" s="2269"/>
      <c r="AM11" s="2269"/>
      <c r="AN11" s="2269"/>
      <c r="AO11" s="2269"/>
      <c r="AP11" s="2269"/>
      <c r="AQ11" s="2269"/>
      <c r="AR11" s="2269"/>
      <c r="AS11" s="2269"/>
      <c r="AT11" s="2269"/>
      <c r="AU11" s="2269"/>
      <c r="AV11" s="2269"/>
      <c r="AW11" s="2269"/>
      <c r="AX11" s="2269"/>
      <c r="AY11" s="2269"/>
      <c r="AZ11" s="2269"/>
      <c r="BA11" s="2269"/>
      <c r="BB11" s="2269"/>
      <c r="BC11" s="2269"/>
      <c r="BD11" s="2269"/>
      <c r="BE11" s="2269"/>
      <c r="BF11" s="2269"/>
      <c r="BG11" s="2269"/>
      <c r="BH11" s="2269"/>
      <c r="BI11" s="2269"/>
      <c r="BJ11" s="2269"/>
      <c r="BK11" s="2269"/>
      <c r="BL11" s="2269"/>
      <c r="BM11" s="2269"/>
      <c r="BN11" s="2269"/>
      <c r="BO11" s="2269"/>
      <c r="BP11" s="2269"/>
      <c r="BQ11" s="2269"/>
      <c r="BR11" s="2269"/>
      <c r="BS11" s="2270"/>
      <c r="BT11" s="2267" t="s">
        <v>953</v>
      </c>
      <c r="BU11" s="2271"/>
      <c r="BV11" s="2271"/>
      <c r="BW11" s="2271"/>
      <c r="BX11" s="2271"/>
      <c r="BY11" s="2271"/>
      <c r="BZ11" s="2271"/>
      <c r="CA11" s="2271"/>
      <c r="CB11" s="2271"/>
      <c r="CC11" s="2271"/>
      <c r="CD11" s="2271"/>
      <c r="CE11" s="2271"/>
      <c r="CF11" s="2271"/>
      <c r="CG11" s="2271"/>
      <c r="CH11" s="2271"/>
      <c r="CI11" s="2271"/>
      <c r="CJ11" s="2271"/>
      <c r="CK11" s="2268"/>
      <c r="CL11" s="2277"/>
      <c r="CM11" s="2269"/>
      <c r="CN11" s="2269"/>
      <c r="CO11" s="2269"/>
      <c r="CP11" s="2269"/>
      <c r="CQ11" s="2269"/>
      <c r="CR11" s="2269"/>
      <c r="CS11" s="2269"/>
      <c r="CT11" s="2269"/>
      <c r="CU11" s="2269"/>
      <c r="CV11" s="2269"/>
      <c r="CW11" s="2269"/>
      <c r="CX11" s="2270"/>
      <c r="CY11" s="2267" t="s">
        <v>953</v>
      </c>
      <c r="CZ11" s="2271"/>
      <c r="DA11" s="2271"/>
      <c r="DB11" s="2271"/>
      <c r="DC11" s="2271"/>
      <c r="DD11" s="2271"/>
      <c r="DE11" s="2271"/>
      <c r="DF11" s="2271"/>
      <c r="DG11" s="2271"/>
      <c r="DH11" s="2271"/>
      <c r="DI11" s="2271"/>
      <c r="DJ11" s="2268"/>
      <c r="DK11" s="2277"/>
      <c r="DL11" s="2269"/>
      <c r="DM11" s="2269"/>
      <c r="DN11" s="2269"/>
      <c r="DO11" s="2269"/>
      <c r="DP11" s="2269"/>
      <c r="DQ11" s="2269"/>
      <c r="DR11" s="2269"/>
      <c r="DS11" s="2269"/>
      <c r="DT11" s="2269"/>
      <c r="DU11" s="2269"/>
      <c r="DV11" s="2269"/>
      <c r="DW11" s="2269"/>
      <c r="DX11" s="2269"/>
      <c r="DY11" s="2269"/>
      <c r="DZ11" s="2269"/>
      <c r="EA11" s="2269"/>
      <c r="EB11" s="2269"/>
      <c r="EC11" s="2269"/>
      <c r="ED11" s="2269"/>
      <c r="EE11" s="2269"/>
      <c r="EF11" s="2269"/>
      <c r="EG11" s="2269"/>
      <c r="EH11" s="2269"/>
      <c r="EI11" s="2269"/>
      <c r="EJ11" s="2269"/>
      <c r="EK11" s="2269"/>
      <c r="EL11" s="2269"/>
      <c r="EM11" s="2269"/>
      <c r="EN11" s="2269"/>
      <c r="EO11" s="2269"/>
      <c r="EP11" s="2269"/>
      <c r="EQ11" s="2269"/>
      <c r="ER11" s="2269"/>
      <c r="ES11" s="2269"/>
      <c r="ET11" s="2269"/>
      <c r="EU11" s="2269"/>
      <c r="EV11" s="2269"/>
      <c r="EW11" s="2269"/>
      <c r="EX11" s="2269"/>
      <c r="EY11" s="2269"/>
      <c r="EZ11" s="2269"/>
      <c r="FA11" s="2269"/>
      <c r="FB11" s="2269"/>
      <c r="FC11" s="2269"/>
      <c r="FD11" s="2269"/>
      <c r="FE11" s="2269"/>
      <c r="FF11" s="2269"/>
      <c r="FG11" s="2269"/>
      <c r="FH11" s="2269"/>
      <c r="FI11" s="2269"/>
      <c r="FJ11" s="2269"/>
      <c r="FK11" s="2269"/>
      <c r="FL11" s="2269"/>
      <c r="FM11" s="2269"/>
      <c r="FN11" s="2269"/>
      <c r="FO11" s="2269"/>
      <c r="FP11" s="2269"/>
      <c r="FQ11" s="2269"/>
      <c r="FR11" s="2269"/>
      <c r="FS11" s="2269"/>
      <c r="FT11" s="2269"/>
      <c r="FU11" s="2269"/>
      <c r="FV11" s="2269"/>
      <c r="FW11" s="2275"/>
      <c r="FX11" s="680"/>
    </row>
    <row r="12" spans="2:180" ht="12" customHeight="1">
      <c r="D12" s="849"/>
      <c r="E12" s="848"/>
      <c r="F12" s="2102"/>
      <c r="G12" s="2102"/>
      <c r="H12" s="2102"/>
      <c r="I12" s="2102"/>
      <c r="J12" s="2287"/>
      <c r="K12" s="2287"/>
      <c r="L12" s="2287"/>
      <c r="M12" s="2287"/>
      <c r="N12" s="2287"/>
      <c r="O12" s="2107" t="s">
        <v>954</v>
      </c>
      <c r="P12" s="2107"/>
      <c r="Q12" s="2107"/>
      <c r="R12" s="2107"/>
      <c r="S12" s="2107" t="s">
        <v>955</v>
      </c>
      <c r="T12" s="2107"/>
      <c r="U12" s="2107"/>
      <c r="V12" s="2107"/>
      <c r="W12" s="2107"/>
      <c r="X12" s="2107"/>
      <c r="Y12" s="2107"/>
      <c r="Z12" s="2107"/>
      <c r="AA12" s="2107"/>
      <c r="AB12" s="2107"/>
      <c r="AC12" s="2269"/>
      <c r="AD12" s="2269"/>
      <c r="AE12" s="2269"/>
      <c r="AF12" s="2269"/>
      <c r="AG12" s="2269"/>
      <c r="AH12" s="2269"/>
      <c r="AI12" s="2269"/>
      <c r="AJ12" s="2269"/>
      <c r="AK12" s="2269"/>
      <c r="AL12" s="2269"/>
      <c r="AM12" s="2269"/>
      <c r="AN12" s="2269"/>
      <c r="AO12" s="2269"/>
      <c r="AP12" s="2269"/>
      <c r="AQ12" s="2269"/>
      <c r="AR12" s="2269"/>
      <c r="AS12" s="2269"/>
      <c r="AT12" s="2269"/>
      <c r="AU12" s="2269"/>
      <c r="AV12" s="2269"/>
      <c r="AW12" s="2269"/>
      <c r="AX12" s="2269"/>
      <c r="AY12" s="2269"/>
      <c r="AZ12" s="2269"/>
      <c r="BA12" s="2269"/>
      <c r="BB12" s="2269"/>
      <c r="BC12" s="2269"/>
      <c r="BD12" s="2269"/>
      <c r="BE12" s="2269"/>
      <c r="BF12" s="2269"/>
      <c r="BG12" s="2269"/>
      <c r="BH12" s="2269"/>
      <c r="BI12" s="2269"/>
      <c r="BJ12" s="2269"/>
      <c r="BK12" s="2269"/>
      <c r="BL12" s="2269"/>
      <c r="BM12" s="2269"/>
      <c r="BN12" s="2269"/>
      <c r="BO12" s="2269"/>
      <c r="BP12" s="2269"/>
      <c r="BQ12" s="2269"/>
      <c r="BR12" s="2269"/>
      <c r="BS12" s="2270"/>
      <c r="BT12" s="2267" t="s">
        <v>956</v>
      </c>
      <c r="BU12" s="2271"/>
      <c r="BV12" s="2271"/>
      <c r="BW12" s="2268"/>
      <c r="BX12" s="2267" t="s">
        <v>957</v>
      </c>
      <c r="BY12" s="2271"/>
      <c r="BZ12" s="2271"/>
      <c r="CA12" s="2268"/>
      <c r="CB12" s="2267" t="s">
        <v>958</v>
      </c>
      <c r="CC12" s="2268"/>
      <c r="CD12" s="2267" t="s">
        <v>959</v>
      </c>
      <c r="CE12" s="2271"/>
      <c r="CF12" s="2271"/>
      <c r="CG12" s="2271"/>
      <c r="CH12" s="2271"/>
      <c r="CI12" s="2271"/>
      <c r="CJ12" s="2271"/>
      <c r="CK12" s="2268"/>
      <c r="CL12" s="2277"/>
      <c r="CM12" s="2269"/>
      <c r="CN12" s="2269"/>
      <c r="CO12" s="2269"/>
      <c r="CP12" s="2269"/>
      <c r="CQ12" s="2269"/>
      <c r="CR12" s="2269"/>
      <c r="CS12" s="2269"/>
      <c r="CT12" s="2269"/>
      <c r="CU12" s="2269"/>
      <c r="CV12" s="2269"/>
      <c r="CW12" s="2269"/>
      <c r="CX12" s="2270"/>
      <c r="CY12" s="2267" t="s">
        <v>960</v>
      </c>
      <c r="CZ12" s="2271"/>
      <c r="DA12" s="2271"/>
      <c r="DB12" s="2271"/>
      <c r="DC12" s="2271"/>
      <c r="DD12" s="2268"/>
      <c r="DE12" s="2267" t="s">
        <v>961</v>
      </c>
      <c r="DF12" s="2268"/>
      <c r="DG12" s="2267" t="s">
        <v>959</v>
      </c>
      <c r="DH12" s="2271"/>
      <c r="DI12" s="2271"/>
      <c r="DJ12" s="2268"/>
      <c r="DK12" s="2277"/>
      <c r="DL12" s="2269"/>
      <c r="DM12" s="2269"/>
      <c r="DN12" s="2269"/>
      <c r="DO12" s="2269"/>
      <c r="DP12" s="2269"/>
      <c r="DQ12" s="2269"/>
      <c r="DR12" s="2269"/>
      <c r="DS12" s="2269"/>
      <c r="DT12" s="2269"/>
      <c r="DU12" s="2269"/>
      <c r="DV12" s="2269"/>
      <c r="DW12" s="2269"/>
      <c r="DX12" s="2269"/>
      <c r="DY12" s="2269"/>
      <c r="DZ12" s="2269"/>
      <c r="EA12" s="2269"/>
      <c r="EB12" s="2269"/>
      <c r="EC12" s="2269"/>
      <c r="ED12" s="2269"/>
      <c r="EE12" s="2269"/>
      <c r="EF12" s="2269"/>
      <c r="EG12" s="2269"/>
      <c r="EH12" s="2269"/>
      <c r="EI12" s="2269"/>
      <c r="EJ12" s="2269"/>
      <c r="EK12" s="2269"/>
      <c r="EL12" s="2269"/>
      <c r="EM12" s="2269"/>
      <c r="EN12" s="2269"/>
      <c r="EO12" s="2269"/>
      <c r="EP12" s="2269"/>
      <c r="EQ12" s="2269"/>
      <c r="ER12" s="2269"/>
      <c r="ES12" s="2269"/>
      <c r="ET12" s="2269"/>
      <c r="EU12" s="2269"/>
      <c r="EV12" s="2269"/>
      <c r="EW12" s="2269"/>
      <c r="EX12" s="2269"/>
      <c r="EY12" s="2269"/>
      <c r="EZ12" s="2269"/>
      <c r="FA12" s="2269"/>
      <c r="FB12" s="2269"/>
      <c r="FC12" s="2269"/>
      <c r="FD12" s="2269"/>
      <c r="FE12" s="2269"/>
      <c r="FF12" s="2269"/>
      <c r="FG12" s="2269"/>
      <c r="FH12" s="2269"/>
      <c r="FI12" s="2269"/>
      <c r="FJ12" s="2269"/>
      <c r="FK12" s="2269"/>
      <c r="FL12" s="2269"/>
      <c r="FM12" s="2269"/>
      <c r="FN12" s="2269"/>
      <c r="FO12" s="2269"/>
      <c r="FP12" s="2269"/>
      <c r="FQ12" s="2269"/>
      <c r="FR12" s="2269"/>
      <c r="FS12" s="2269"/>
      <c r="FT12" s="2269"/>
      <c r="FU12" s="2269"/>
      <c r="FV12" s="2269"/>
      <c r="FW12" s="2275"/>
      <c r="FX12" s="680"/>
    </row>
    <row r="13" spans="2:180" ht="36" customHeight="1">
      <c r="D13" s="849"/>
      <c r="E13" s="848"/>
      <c r="F13" s="2102"/>
      <c r="G13" s="2102"/>
      <c r="H13" s="2102"/>
      <c r="I13" s="2102"/>
      <c r="J13" s="2287"/>
      <c r="K13" s="2287"/>
      <c r="L13" s="2287"/>
      <c r="M13" s="2287"/>
      <c r="N13" s="2287"/>
      <c r="O13" s="2107" t="s">
        <v>962</v>
      </c>
      <c r="P13" s="2107"/>
      <c r="Q13" s="2107"/>
      <c r="R13" s="2107"/>
      <c r="S13" s="2201" t="s">
        <v>963</v>
      </c>
      <c r="T13" s="2253"/>
      <c r="U13" s="2019" t="s">
        <v>964</v>
      </c>
      <c r="V13" s="2019"/>
      <c r="W13" s="2019"/>
      <c r="X13" s="2019"/>
      <c r="Y13" s="2019" t="s">
        <v>965</v>
      </c>
      <c r="Z13" s="2019"/>
      <c r="AA13" s="2019"/>
      <c r="AB13" s="2019"/>
      <c r="AC13" s="2269"/>
      <c r="AD13" s="2269"/>
      <c r="AE13" s="2269"/>
      <c r="AF13" s="2269"/>
      <c r="AG13" s="2269"/>
      <c r="AH13" s="2269"/>
      <c r="AI13" s="2269"/>
      <c r="AJ13" s="2269"/>
      <c r="AK13" s="2269"/>
      <c r="AL13" s="2269"/>
      <c r="AM13" s="2269"/>
      <c r="AN13" s="2269"/>
      <c r="AO13" s="2269"/>
      <c r="AP13" s="2269"/>
      <c r="AQ13" s="2269"/>
      <c r="AR13" s="2269"/>
      <c r="AS13" s="2269"/>
      <c r="AT13" s="2269"/>
      <c r="AU13" s="2269"/>
      <c r="AV13" s="2269"/>
      <c r="AW13" s="2269"/>
      <c r="AX13" s="2269"/>
      <c r="AY13" s="2269"/>
      <c r="AZ13" s="2269"/>
      <c r="BA13" s="2269"/>
      <c r="BB13" s="2269"/>
      <c r="BC13" s="2269"/>
      <c r="BD13" s="2269"/>
      <c r="BE13" s="2269"/>
      <c r="BF13" s="2269"/>
      <c r="BG13" s="2269"/>
      <c r="BH13" s="2269"/>
      <c r="BI13" s="2269"/>
      <c r="BJ13" s="2269"/>
      <c r="BK13" s="2269"/>
      <c r="BL13" s="2269"/>
      <c r="BM13" s="2269"/>
      <c r="BN13" s="2269"/>
      <c r="BO13" s="2269"/>
      <c r="BP13" s="2269"/>
      <c r="BQ13" s="2269"/>
      <c r="BR13" s="2269"/>
      <c r="BS13" s="2270"/>
      <c r="BT13" s="2201" t="s">
        <v>966</v>
      </c>
      <c r="BU13" s="2253"/>
      <c r="BV13" s="2201" t="s">
        <v>967</v>
      </c>
      <c r="BW13" s="2253"/>
      <c r="BX13" s="2201" t="s">
        <v>968</v>
      </c>
      <c r="BY13" s="2253"/>
      <c r="BZ13" s="2201" t="s">
        <v>969</v>
      </c>
      <c r="CA13" s="2253"/>
      <c r="CB13" s="2201" t="s">
        <v>970</v>
      </c>
      <c r="CC13" s="2253"/>
      <c r="CD13" s="2201" t="s">
        <v>971</v>
      </c>
      <c r="CE13" s="2253"/>
      <c r="CF13" s="2201" t="s">
        <v>972</v>
      </c>
      <c r="CG13" s="2253"/>
      <c r="CH13" s="2267" t="s">
        <v>973</v>
      </c>
      <c r="CI13" s="2271"/>
      <c r="CJ13" s="2271"/>
      <c r="CK13" s="2268"/>
      <c r="CL13" s="2277"/>
      <c r="CM13" s="2269"/>
      <c r="CN13" s="2269"/>
      <c r="CO13" s="2269"/>
      <c r="CP13" s="2269"/>
      <c r="CQ13" s="2269"/>
      <c r="CR13" s="2269"/>
      <c r="CS13" s="2269"/>
      <c r="CT13" s="2269"/>
      <c r="CU13" s="2269"/>
      <c r="CV13" s="2269"/>
      <c r="CW13" s="2269"/>
      <c r="CX13" s="2270"/>
      <c r="CY13" s="2201" t="s">
        <v>974</v>
      </c>
      <c r="CZ13" s="2253"/>
      <c r="DA13" s="2201" t="s">
        <v>975</v>
      </c>
      <c r="DB13" s="2253"/>
      <c r="DC13" s="2201" t="s">
        <v>976</v>
      </c>
      <c r="DD13" s="2253"/>
      <c r="DE13" s="2201" t="s">
        <v>977</v>
      </c>
      <c r="DF13" s="2253"/>
      <c r="DG13" s="2267" t="s">
        <v>978</v>
      </c>
      <c r="DH13" s="2271"/>
      <c r="DI13" s="2271"/>
      <c r="DJ13" s="2268"/>
      <c r="DK13" s="2277"/>
      <c r="DL13" s="2269"/>
      <c r="DM13" s="2269"/>
      <c r="DN13" s="2269"/>
      <c r="DO13" s="2269"/>
      <c r="DP13" s="2269"/>
      <c r="DQ13" s="2269"/>
      <c r="DR13" s="2269"/>
      <c r="DS13" s="2269"/>
      <c r="DT13" s="2269"/>
      <c r="DU13" s="2269"/>
      <c r="DV13" s="2269"/>
      <c r="DW13" s="2269"/>
      <c r="DX13" s="2269"/>
      <c r="DY13" s="2269"/>
      <c r="DZ13" s="2269"/>
      <c r="EA13" s="2269"/>
      <c r="EB13" s="2269"/>
      <c r="EC13" s="2269"/>
      <c r="ED13" s="2269"/>
      <c r="EE13" s="2269"/>
      <c r="EF13" s="2269"/>
      <c r="EG13" s="2269"/>
      <c r="EH13" s="2269"/>
      <c r="EI13" s="2269"/>
      <c r="EJ13" s="2269"/>
      <c r="EK13" s="2269"/>
      <c r="EL13" s="2269"/>
      <c r="EM13" s="2269"/>
      <c r="EN13" s="2269"/>
      <c r="EO13" s="2269"/>
      <c r="EP13" s="2269"/>
      <c r="EQ13" s="2269"/>
      <c r="ER13" s="2269"/>
      <c r="ES13" s="2269"/>
      <c r="ET13" s="2269"/>
      <c r="EU13" s="2269"/>
      <c r="EV13" s="2269"/>
      <c r="EW13" s="2269"/>
      <c r="EX13" s="2269"/>
      <c r="EY13" s="2269"/>
      <c r="EZ13" s="2269"/>
      <c r="FA13" s="2269"/>
      <c r="FB13" s="2269"/>
      <c r="FC13" s="2269"/>
      <c r="FD13" s="2269"/>
      <c r="FE13" s="2269"/>
      <c r="FF13" s="2269"/>
      <c r="FG13" s="2269"/>
      <c r="FH13" s="2269"/>
      <c r="FI13" s="2269"/>
      <c r="FJ13" s="2269"/>
      <c r="FK13" s="2269"/>
      <c r="FL13" s="2269"/>
      <c r="FM13" s="2269"/>
      <c r="FN13" s="2269"/>
      <c r="FO13" s="2269"/>
      <c r="FP13" s="2269"/>
      <c r="FQ13" s="2269"/>
      <c r="FR13" s="2269"/>
      <c r="FS13" s="2269"/>
      <c r="FT13" s="2269"/>
      <c r="FU13" s="2269"/>
      <c r="FV13" s="2269"/>
      <c r="FW13" s="2275"/>
      <c r="FX13" s="680"/>
    </row>
    <row r="14" spans="2:180" ht="36" customHeight="1">
      <c r="D14" s="849"/>
      <c r="E14" s="848"/>
      <c r="F14" s="2102"/>
      <c r="G14" s="2102"/>
      <c r="H14" s="2102"/>
      <c r="I14" s="2102"/>
      <c r="J14" s="2287"/>
      <c r="K14" s="2287"/>
      <c r="L14" s="2287"/>
      <c r="M14" s="2287"/>
      <c r="N14" s="2287"/>
      <c r="O14" s="2201" t="s">
        <v>979</v>
      </c>
      <c r="P14" s="2253"/>
      <c r="Q14" s="2201" t="s">
        <v>980</v>
      </c>
      <c r="R14" s="2253"/>
      <c r="S14" s="2202"/>
      <c r="T14" s="2108"/>
      <c r="U14" s="2201" t="s">
        <v>712</v>
      </c>
      <c r="V14" s="2253"/>
      <c r="W14" s="2201" t="s">
        <v>715</v>
      </c>
      <c r="X14" s="2253"/>
      <c r="Y14" s="2201" t="s">
        <v>712</v>
      </c>
      <c r="Z14" s="2253"/>
      <c r="AA14" s="2201" t="s">
        <v>722</v>
      </c>
      <c r="AB14" s="2253"/>
      <c r="AC14" s="2269"/>
      <c r="AD14" s="2269"/>
      <c r="AE14" s="2269"/>
      <c r="AF14" s="2269"/>
      <c r="AG14" s="2269"/>
      <c r="AH14" s="2269"/>
      <c r="AI14" s="2269"/>
      <c r="AJ14" s="2269"/>
      <c r="AK14" s="2269"/>
      <c r="AL14" s="2269"/>
      <c r="AM14" s="2269"/>
      <c r="AN14" s="2269"/>
      <c r="AO14" s="2269"/>
      <c r="AP14" s="2269"/>
      <c r="AQ14" s="2269"/>
      <c r="AR14" s="2269"/>
      <c r="AS14" s="2269"/>
      <c r="AT14" s="2269"/>
      <c r="AU14" s="2269"/>
      <c r="AV14" s="2269"/>
      <c r="AW14" s="2269"/>
      <c r="AX14" s="2269"/>
      <c r="AY14" s="2269"/>
      <c r="AZ14" s="2269"/>
      <c r="BA14" s="2269"/>
      <c r="BB14" s="2269"/>
      <c r="BC14" s="2269"/>
      <c r="BD14" s="2269"/>
      <c r="BE14" s="2269"/>
      <c r="BF14" s="2269"/>
      <c r="BG14" s="2269"/>
      <c r="BH14" s="2269"/>
      <c r="BI14" s="2269"/>
      <c r="BJ14" s="2269"/>
      <c r="BK14" s="2269"/>
      <c r="BL14" s="2269"/>
      <c r="BM14" s="2269"/>
      <c r="BN14" s="2269"/>
      <c r="BO14" s="2269"/>
      <c r="BP14" s="2269"/>
      <c r="BQ14" s="2269"/>
      <c r="BR14" s="2269"/>
      <c r="BS14" s="2270"/>
      <c r="BT14" s="2202"/>
      <c r="BU14" s="2108"/>
      <c r="BV14" s="2202"/>
      <c r="BW14" s="2108"/>
      <c r="BX14" s="2202"/>
      <c r="BY14" s="2108"/>
      <c r="BZ14" s="2202"/>
      <c r="CA14" s="2108"/>
      <c r="CB14" s="2202"/>
      <c r="CC14" s="2108"/>
      <c r="CD14" s="2202"/>
      <c r="CE14" s="2108"/>
      <c r="CF14" s="2202"/>
      <c r="CG14" s="2108"/>
      <c r="CH14" s="2201" t="s">
        <v>981</v>
      </c>
      <c r="CI14" s="2253"/>
      <c r="CJ14" s="2201" t="s">
        <v>982</v>
      </c>
      <c r="CK14" s="2253"/>
      <c r="CL14" s="2277"/>
      <c r="CM14" s="2269"/>
      <c r="CN14" s="2269"/>
      <c r="CO14" s="2269"/>
      <c r="CP14" s="2269"/>
      <c r="CQ14" s="2269"/>
      <c r="CR14" s="2269"/>
      <c r="CS14" s="2269"/>
      <c r="CT14" s="2269"/>
      <c r="CU14" s="2269"/>
      <c r="CV14" s="2269"/>
      <c r="CW14" s="2269"/>
      <c r="CX14" s="2270"/>
      <c r="CY14" s="2202"/>
      <c r="CZ14" s="2108"/>
      <c r="DA14" s="2202"/>
      <c r="DB14" s="2108"/>
      <c r="DC14" s="2202"/>
      <c r="DD14" s="2108"/>
      <c r="DE14" s="2202"/>
      <c r="DF14" s="2108"/>
      <c r="DG14" s="2201" t="s">
        <v>983</v>
      </c>
      <c r="DH14" s="2253"/>
      <c r="DI14" s="2201" t="s">
        <v>984</v>
      </c>
      <c r="DJ14" s="2253"/>
      <c r="DK14" s="2277"/>
      <c r="DL14" s="2269"/>
      <c r="DM14" s="2269"/>
      <c r="DN14" s="2269"/>
      <c r="DO14" s="2269"/>
      <c r="DP14" s="2269"/>
      <c r="DQ14" s="2269"/>
      <c r="DR14" s="2269"/>
      <c r="DS14" s="2269"/>
      <c r="DT14" s="2269"/>
      <c r="DU14" s="2269"/>
      <c r="DV14" s="2269"/>
      <c r="DW14" s="2269"/>
      <c r="DX14" s="2269"/>
      <c r="DY14" s="2269"/>
      <c r="DZ14" s="2269"/>
      <c r="EA14" s="2269"/>
      <c r="EB14" s="2269"/>
      <c r="EC14" s="2269"/>
      <c r="ED14" s="2269"/>
      <c r="EE14" s="2269"/>
      <c r="EF14" s="2269"/>
      <c r="EG14" s="2269"/>
      <c r="EH14" s="2269"/>
      <c r="EI14" s="2269"/>
      <c r="EJ14" s="2269"/>
      <c r="EK14" s="2269"/>
      <c r="EL14" s="2269"/>
      <c r="EM14" s="2269"/>
      <c r="EN14" s="2269"/>
      <c r="EO14" s="2269"/>
      <c r="EP14" s="2269"/>
      <c r="EQ14" s="2269"/>
      <c r="ER14" s="2269"/>
      <c r="ES14" s="2269"/>
      <c r="ET14" s="2269"/>
      <c r="EU14" s="2269"/>
      <c r="EV14" s="2269"/>
      <c r="EW14" s="2269"/>
      <c r="EX14" s="2269"/>
      <c r="EY14" s="2269"/>
      <c r="EZ14" s="2269"/>
      <c r="FA14" s="2269"/>
      <c r="FB14" s="2269"/>
      <c r="FC14" s="2269"/>
      <c r="FD14" s="2269"/>
      <c r="FE14" s="2269"/>
      <c r="FF14" s="2269"/>
      <c r="FG14" s="2269"/>
      <c r="FH14" s="2269"/>
      <c r="FI14" s="2269"/>
      <c r="FJ14" s="2269"/>
      <c r="FK14" s="2269"/>
      <c r="FL14" s="2269"/>
      <c r="FM14" s="2269"/>
      <c r="FN14" s="2269"/>
      <c r="FO14" s="2269"/>
      <c r="FP14" s="2269"/>
      <c r="FQ14" s="2269"/>
      <c r="FR14" s="2269"/>
      <c r="FS14" s="2269"/>
      <c r="FT14" s="2269"/>
      <c r="FU14" s="2269"/>
      <c r="FV14" s="2269"/>
      <c r="FW14" s="2275"/>
      <c r="FX14" s="680"/>
    </row>
    <row r="15" spans="2:180" ht="36" customHeight="1">
      <c r="D15" s="849"/>
      <c r="E15" s="848"/>
      <c r="F15" s="2102"/>
      <c r="G15" s="2102"/>
      <c r="H15" s="2102"/>
      <c r="I15" s="2102"/>
      <c r="J15" s="2287"/>
      <c r="K15" s="2287"/>
      <c r="L15" s="2287"/>
      <c r="M15" s="2287"/>
      <c r="N15" s="2287"/>
      <c r="O15" s="2203"/>
      <c r="P15" s="2254"/>
      <c r="Q15" s="2203"/>
      <c r="R15" s="2254"/>
      <c r="S15" s="2203"/>
      <c r="T15" s="2254"/>
      <c r="U15" s="2203"/>
      <c r="V15" s="2254"/>
      <c r="W15" s="2203"/>
      <c r="X15" s="2254"/>
      <c r="Y15" s="2203"/>
      <c r="Z15" s="2254"/>
      <c r="AA15" s="2203"/>
      <c r="AB15" s="2254"/>
      <c r="AC15" s="2269"/>
      <c r="AD15" s="2269"/>
      <c r="AE15" s="2269"/>
      <c r="AF15" s="2269"/>
      <c r="AG15" s="2269"/>
      <c r="AH15" s="2269"/>
      <c r="AI15" s="2269"/>
      <c r="AJ15" s="2269"/>
      <c r="AK15" s="2269"/>
      <c r="AL15" s="2269"/>
      <c r="AM15" s="2269"/>
      <c r="AN15" s="2269"/>
      <c r="AO15" s="2269"/>
      <c r="AP15" s="2269"/>
      <c r="AQ15" s="2269"/>
      <c r="AR15" s="2269"/>
      <c r="AS15" s="2269"/>
      <c r="AT15" s="2269"/>
      <c r="AU15" s="2269"/>
      <c r="AV15" s="2269"/>
      <c r="AW15" s="2269"/>
      <c r="AX15" s="2269"/>
      <c r="AY15" s="2269"/>
      <c r="AZ15" s="2269"/>
      <c r="BA15" s="2269"/>
      <c r="BB15" s="2269"/>
      <c r="BC15" s="2269"/>
      <c r="BD15" s="2269"/>
      <c r="BE15" s="2269"/>
      <c r="BF15" s="2269"/>
      <c r="BG15" s="2269"/>
      <c r="BH15" s="2269"/>
      <c r="BI15" s="2269"/>
      <c r="BJ15" s="2269"/>
      <c r="BK15" s="2269"/>
      <c r="BL15" s="2269"/>
      <c r="BM15" s="2269"/>
      <c r="BN15" s="2269"/>
      <c r="BO15" s="2269"/>
      <c r="BP15" s="2269"/>
      <c r="BQ15" s="2269"/>
      <c r="BR15" s="2269"/>
      <c r="BS15" s="2270"/>
      <c r="BT15" s="2203"/>
      <c r="BU15" s="2254"/>
      <c r="BV15" s="2203"/>
      <c r="BW15" s="2254"/>
      <c r="BX15" s="2203"/>
      <c r="BY15" s="2254"/>
      <c r="BZ15" s="2203"/>
      <c r="CA15" s="2254"/>
      <c r="CB15" s="2203"/>
      <c r="CC15" s="2254"/>
      <c r="CD15" s="2203"/>
      <c r="CE15" s="2254"/>
      <c r="CF15" s="2203"/>
      <c r="CG15" s="2254"/>
      <c r="CH15" s="2203"/>
      <c r="CI15" s="2254"/>
      <c r="CJ15" s="2203"/>
      <c r="CK15" s="2254"/>
      <c r="CL15" s="2277"/>
      <c r="CM15" s="2269"/>
      <c r="CN15" s="2269"/>
      <c r="CO15" s="2269"/>
      <c r="CP15" s="2269"/>
      <c r="CQ15" s="2269"/>
      <c r="CR15" s="2269"/>
      <c r="CS15" s="2269"/>
      <c r="CT15" s="2269"/>
      <c r="CU15" s="2269"/>
      <c r="CV15" s="2269"/>
      <c r="CW15" s="2269"/>
      <c r="CX15" s="2270"/>
      <c r="CY15" s="2203"/>
      <c r="CZ15" s="2254"/>
      <c r="DA15" s="2203"/>
      <c r="DB15" s="2254"/>
      <c r="DC15" s="2203"/>
      <c r="DD15" s="2254"/>
      <c r="DE15" s="2203"/>
      <c r="DF15" s="2254"/>
      <c r="DG15" s="2203"/>
      <c r="DH15" s="2254"/>
      <c r="DI15" s="2203"/>
      <c r="DJ15" s="2254"/>
      <c r="DK15" s="2277"/>
      <c r="DL15" s="2269"/>
      <c r="DM15" s="2269"/>
      <c r="DN15" s="2269"/>
      <c r="DO15" s="2269"/>
      <c r="DP15" s="2269"/>
      <c r="DQ15" s="2269"/>
      <c r="DR15" s="2269"/>
      <c r="DS15" s="2269"/>
      <c r="DT15" s="2269"/>
      <c r="DU15" s="2269"/>
      <c r="DV15" s="2269"/>
      <c r="DW15" s="2269"/>
      <c r="DX15" s="2269"/>
      <c r="DY15" s="2269"/>
      <c r="DZ15" s="2269"/>
      <c r="EA15" s="2269"/>
      <c r="EB15" s="2269"/>
      <c r="EC15" s="2269"/>
      <c r="ED15" s="2269"/>
      <c r="EE15" s="2269"/>
      <c r="EF15" s="2269"/>
      <c r="EG15" s="2269"/>
      <c r="EH15" s="2269"/>
      <c r="EI15" s="2269"/>
      <c r="EJ15" s="2269"/>
      <c r="EK15" s="2269"/>
      <c r="EL15" s="2269"/>
      <c r="EM15" s="2269"/>
      <c r="EN15" s="2269"/>
      <c r="EO15" s="2269"/>
      <c r="EP15" s="2269"/>
      <c r="EQ15" s="2269"/>
      <c r="ER15" s="2269"/>
      <c r="ES15" s="2269"/>
      <c r="ET15" s="2269"/>
      <c r="EU15" s="2269"/>
      <c r="EV15" s="2269"/>
      <c r="EW15" s="2269"/>
      <c r="EX15" s="2269"/>
      <c r="EY15" s="2269"/>
      <c r="EZ15" s="2269"/>
      <c r="FA15" s="2269"/>
      <c r="FB15" s="2269"/>
      <c r="FC15" s="2269"/>
      <c r="FD15" s="2269"/>
      <c r="FE15" s="2269"/>
      <c r="FF15" s="2269"/>
      <c r="FG15" s="2269"/>
      <c r="FH15" s="2269"/>
      <c r="FI15" s="2269"/>
      <c r="FJ15" s="2269"/>
      <c r="FK15" s="2269"/>
      <c r="FL15" s="2269"/>
      <c r="FM15" s="2269"/>
      <c r="FN15" s="2269"/>
      <c r="FO15" s="2269"/>
      <c r="FP15" s="2269"/>
      <c r="FQ15" s="2269"/>
      <c r="FR15" s="2269"/>
      <c r="FS15" s="2269"/>
      <c r="FT15" s="2269"/>
      <c r="FU15" s="2269"/>
      <c r="FV15" s="2269"/>
      <c r="FW15" s="2275"/>
      <c r="FX15" s="680"/>
    </row>
    <row r="16" spans="2:180" ht="12" customHeight="1">
      <c r="D16" s="849"/>
      <c r="E16" s="848"/>
      <c r="F16" s="2102"/>
      <c r="G16" s="2102"/>
      <c r="H16" s="2102"/>
      <c r="I16" s="2102"/>
      <c r="J16" s="2287"/>
      <c r="K16" s="2287"/>
      <c r="L16" s="2287"/>
      <c r="M16" s="2287"/>
      <c r="N16" s="2287"/>
      <c r="O16" s="2267" t="s">
        <v>702</v>
      </c>
      <c r="P16" s="2268"/>
      <c r="Q16" s="2267" t="s">
        <v>704</v>
      </c>
      <c r="R16" s="2268"/>
      <c r="S16" s="2267" t="s">
        <v>708</v>
      </c>
      <c r="T16" s="2268"/>
      <c r="U16" s="2267" t="s">
        <v>713</v>
      </c>
      <c r="V16" s="2268"/>
      <c r="W16" s="2267" t="s">
        <v>716</v>
      </c>
      <c r="X16" s="2268"/>
      <c r="Y16" s="2267" t="s">
        <v>720</v>
      </c>
      <c r="Z16" s="2268"/>
      <c r="AA16" s="2267" t="s">
        <v>723</v>
      </c>
      <c r="AB16" s="2268"/>
      <c r="AC16" s="2269"/>
      <c r="AD16" s="2269"/>
      <c r="AE16" s="2269"/>
      <c r="AF16" s="2269"/>
      <c r="AG16" s="2269"/>
      <c r="AH16" s="2269"/>
      <c r="AI16" s="2269"/>
      <c r="AJ16" s="2269"/>
      <c r="AK16" s="2269"/>
      <c r="AL16" s="2269"/>
      <c r="AM16" s="2269"/>
      <c r="AN16" s="2269"/>
      <c r="AO16" s="2269"/>
      <c r="AP16" s="2269"/>
      <c r="AQ16" s="2269"/>
      <c r="AR16" s="2269"/>
      <c r="AS16" s="2269"/>
      <c r="AT16" s="2269"/>
      <c r="AU16" s="2269"/>
      <c r="AV16" s="2269"/>
      <c r="AW16" s="2269"/>
      <c r="AX16" s="2269"/>
      <c r="AY16" s="2269"/>
      <c r="AZ16" s="2269"/>
      <c r="BA16" s="2269"/>
      <c r="BB16" s="2269"/>
      <c r="BC16" s="2269"/>
      <c r="BD16" s="2269"/>
      <c r="BE16" s="2269"/>
      <c r="BF16" s="2269"/>
      <c r="BG16" s="2269"/>
      <c r="BH16" s="2269"/>
      <c r="BI16" s="2269"/>
      <c r="BJ16" s="2269"/>
      <c r="BK16" s="2269"/>
      <c r="BL16" s="2269"/>
      <c r="BM16" s="2269"/>
      <c r="BN16" s="2269"/>
      <c r="BO16" s="2269"/>
      <c r="BP16" s="2269"/>
      <c r="BQ16" s="2269"/>
      <c r="BR16" s="2269"/>
      <c r="BS16" s="2270"/>
      <c r="BT16" s="2267" t="s">
        <v>520</v>
      </c>
      <c r="BU16" s="2268"/>
      <c r="BV16" s="2267" t="s">
        <v>520</v>
      </c>
      <c r="BW16" s="2268"/>
      <c r="BX16" s="2267" t="s">
        <v>520</v>
      </c>
      <c r="BY16" s="2268"/>
      <c r="BZ16" s="2267" t="s">
        <v>520</v>
      </c>
      <c r="CA16" s="2268"/>
      <c r="CB16" s="2267" t="s">
        <v>985</v>
      </c>
      <c r="CC16" s="2268"/>
      <c r="CD16" s="2267" t="s">
        <v>520</v>
      </c>
      <c r="CE16" s="2268"/>
      <c r="CF16" s="2267" t="s">
        <v>986</v>
      </c>
      <c r="CG16" s="2268"/>
      <c r="CH16" s="2267" t="s">
        <v>987</v>
      </c>
      <c r="CI16" s="2268"/>
      <c r="CJ16" s="2267" t="s">
        <v>987</v>
      </c>
      <c r="CK16" s="2268"/>
      <c r="CL16" s="2277"/>
      <c r="CM16" s="2269"/>
      <c r="CN16" s="2269"/>
      <c r="CO16" s="2269"/>
      <c r="CP16" s="2269"/>
      <c r="CQ16" s="2269"/>
      <c r="CR16" s="2269"/>
      <c r="CS16" s="2269"/>
      <c r="CT16" s="2269"/>
      <c r="CU16" s="2269"/>
      <c r="CV16" s="2269"/>
      <c r="CW16" s="2269"/>
      <c r="CX16" s="2270"/>
      <c r="CY16" s="2201" t="s">
        <v>520</v>
      </c>
      <c r="CZ16" s="2253"/>
      <c r="DA16" s="2201" t="s">
        <v>520</v>
      </c>
      <c r="DB16" s="2253"/>
      <c r="DC16" s="2201" t="s">
        <v>520</v>
      </c>
      <c r="DD16" s="2253"/>
      <c r="DE16" s="2267" t="s">
        <v>985</v>
      </c>
      <c r="DF16" s="2268"/>
      <c r="DG16" s="2267" t="s">
        <v>988</v>
      </c>
      <c r="DH16" s="2268"/>
      <c r="DI16" s="2267" t="s">
        <v>988</v>
      </c>
      <c r="DJ16" s="2268"/>
      <c r="DK16" s="2277"/>
      <c r="DL16" s="2269"/>
      <c r="DM16" s="2269"/>
      <c r="DN16" s="2269"/>
      <c r="DO16" s="2269"/>
      <c r="DP16" s="2269"/>
      <c r="DQ16" s="2269"/>
      <c r="DR16" s="2269"/>
      <c r="DS16" s="2269"/>
      <c r="DT16" s="2269"/>
      <c r="DU16" s="2269"/>
      <c r="DV16" s="2269"/>
      <c r="DW16" s="2269"/>
      <c r="DX16" s="2269"/>
      <c r="DY16" s="2269"/>
      <c r="DZ16" s="2269"/>
      <c r="EA16" s="2269"/>
      <c r="EB16" s="2269"/>
      <c r="EC16" s="2269"/>
      <c r="ED16" s="2269"/>
      <c r="EE16" s="2269"/>
      <c r="EF16" s="2269"/>
      <c r="EG16" s="2269"/>
      <c r="EH16" s="2269"/>
      <c r="EI16" s="2269"/>
      <c r="EJ16" s="2269"/>
      <c r="EK16" s="2269"/>
      <c r="EL16" s="2269"/>
      <c r="EM16" s="2269"/>
      <c r="EN16" s="2269"/>
      <c r="EO16" s="2269"/>
      <c r="EP16" s="2269"/>
      <c r="EQ16" s="2269"/>
      <c r="ER16" s="2269"/>
      <c r="ES16" s="2269"/>
      <c r="ET16" s="2269"/>
      <c r="EU16" s="2269"/>
      <c r="EV16" s="2269"/>
      <c r="EW16" s="2269"/>
      <c r="EX16" s="2269"/>
      <c r="EY16" s="2269"/>
      <c r="EZ16" s="2269"/>
      <c r="FA16" s="2269"/>
      <c r="FB16" s="2269"/>
      <c r="FC16" s="2269"/>
      <c r="FD16" s="2269"/>
      <c r="FE16" s="2269"/>
      <c r="FF16" s="2269"/>
      <c r="FG16" s="2269"/>
      <c r="FH16" s="2269"/>
      <c r="FI16" s="2269"/>
      <c r="FJ16" s="2269"/>
      <c r="FK16" s="2269"/>
      <c r="FL16" s="2269"/>
      <c r="FM16" s="2269"/>
      <c r="FN16" s="2269"/>
      <c r="FO16" s="2269"/>
      <c r="FP16" s="2269"/>
      <c r="FQ16" s="2269"/>
      <c r="FR16" s="2269"/>
      <c r="FS16" s="2269"/>
      <c r="FT16" s="2269"/>
      <c r="FU16" s="2269"/>
      <c r="FV16" s="2269"/>
      <c r="FW16" s="2275"/>
      <c r="FX16" s="680"/>
    </row>
    <row r="17" spans="1:184" ht="15" customHeight="1">
      <c r="E17" s="848"/>
      <c r="F17" s="2102"/>
      <c r="G17" s="2102"/>
      <c r="H17" s="2102"/>
      <c r="I17" s="2102"/>
      <c r="J17" s="2287"/>
      <c r="K17" s="2287"/>
      <c r="L17" s="2287"/>
      <c r="M17" s="2287"/>
      <c r="N17" s="2287"/>
      <c r="O17" s="1095" t="s">
        <v>989</v>
      </c>
      <c r="P17" s="1095" t="s">
        <v>990</v>
      </c>
      <c r="Q17" s="1095" t="s">
        <v>989</v>
      </c>
      <c r="R17" s="1095" t="s">
        <v>990</v>
      </c>
      <c r="S17" s="1095" t="s">
        <v>989</v>
      </c>
      <c r="T17" s="1095" t="s">
        <v>990</v>
      </c>
      <c r="U17" s="1095" t="s">
        <v>989</v>
      </c>
      <c r="V17" s="1095" t="s">
        <v>990</v>
      </c>
      <c r="W17" s="1095" t="s">
        <v>989</v>
      </c>
      <c r="X17" s="1095" t="s">
        <v>990</v>
      </c>
      <c r="Y17" s="1095" t="s">
        <v>989</v>
      </c>
      <c r="Z17" s="1095" t="s">
        <v>990</v>
      </c>
      <c r="AA17" s="1095" t="s">
        <v>989</v>
      </c>
      <c r="AB17" s="1095" t="s">
        <v>990</v>
      </c>
      <c r="AC17" s="2269"/>
      <c r="AD17" s="2269"/>
      <c r="AE17" s="2269"/>
      <c r="AF17" s="2269"/>
      <c r="AG17" s="2269"/>
      <c r="AH17" s="2269"/>
      <c r="AI17" s="2269"/>
      <c r="AJ17" s="2269"/>
      <c r="AK17" s="2269"/>
      <c r="AL17" s="2269"/>
      <c r="AM17" s="2269"/>
      <c r="AN17" s="2269"/>
      <c r="AO17" s="2269"/>
      <c r="AP17" s="2269"/>
      <c r="AQ17" s="2269"/>
      <c r="AR17" s="2269"/>
      <c r="AS17" s="2269"/>
      <c r="AT17" s="2269"/>
      <c r="AU17" s="2269"/>
      <c r="AV17" s="2269"/>
      <c r="AW17" s="2269"/>
      <c r="AX17" s="2269"/>
      <c r="AY17" s="2269"/>
      <c r="AZ17" s="2269"/>
      <c r="BA17" s="2269"/>
      <c r="BB17" s="2269"/>
      <c r="BC17" s="2269"/>
      <c r="BD17" s="2269"/>
      <c r="BE17" s="2269"/>
      <c r="BF17" s="2269"/>
      <c r="BG17" s="2269"/>
      <c r="BH17" s="2269"/>
      <c r="BI17" s="2269"/>
      <c r="BJ17" s="2269"/>
      <c r="BK17" s="2269"/>
      <c r="BL17" s="2269"/>
      <c r="BM17" s="2269"/>
      <c r="BN17" s="2269"/>
      <c r="BO17" s="2269"/>
      <c r="BP17" s="2269"/>
      <c r="BQ17" s="2269"/>
      <c r="BR17" s="2269"/>
      <c r="BS17" s="2270"/>
      <c r="BT17" s="1095" t="s">
        <v>989</v>
      </c>
      <c r="BU17" s="1095" t="s">
        <v>990</v>
      </c>
      <c r="BV17" s="1095" t="s">
        <v>989</v>
      </c>
      <c r="BW17" s="1095" t="s">
        <v>990</v>
      </c>
      <c r="BX17" s="1095" t="s">
        <v>989</v>
      </c>
      <c r="BY17" s="1095" t="s">
        <v>990</v>
      </c>
      <c r="BZ17" s="1095" t="s">
        <v>989</v>
      </c>
      <c r="CA17" s="1095" t="s">
        <v>990</v>
      </c>
      <c r="CB17" s="1095" t="s">
        <v>989</v>
      </c>
      <c r="CC17" s="1095" t="s">
        <v>990</v>
      </c>
      <c r="CD17" s="1095" t="s">
        <v>989</v>
      </c>
      <c r="CE17" s="1095" t="s">
        <v>990</v>
      </c>
      <c r="CF17" s="1095" t="s">
        <v>989</v>
      </c>
      <c r="CG17" s="1095" t="s">
        <v>990</v>
      </c>
      <c r="CH17" s="1095" t="s">
        <v>989</v>
      </c>
      <c r="CI17" s="1095" t="s">
        <v>990</v>
      </c>
      <c r="CJ17" s="1095" t="s">
        <v>989</v>
      </c>
      <c r="CK17" s="1095" t="s">
        <v>990</v>
      </c>
      <c r="CL17" s="2277"/>
      <c r="CM17" s="2269"/>
      <c r="CN17" s="2269"/>
      <c r="CO17" s="2269"/>
      <c r="CP17" s="2269"/>
      <c r="CQ17" s="2269"/>
      <c r="CR17" s="2269"/>
      <c r="CS17" s="2269"/>
      <c r="CT17" s="2269"/>
      <c r="CU17" s="2269"/>
      <c r="CV17" s="2269"/>
      <c r="CW17" s="2269"/>
      <c r="CX17" s="2270"/>
      <c r="CY17" s="1095" t="s">
        <v>989</v>
      </c>
      <c r="CZ17" s="1095" t="s">
        <v>990</v>
      </c>
      <c r="DA17" s="1095" t="s">
        <v>989</v>
      </c>
      <c r="DB17" s="1095" t="s">
        <v>990</v>
      </c>
      <c r="DC17" s="1095" t="s">
        <v>989</v>
      </c>
      <c r="DD17" s="1095" t="s">
        <v>990</v>
      </c>
      <c r="DE17" s="1095" t="s">
        <v>989</v>
      </c>
      <c r="DF17" s="1095" t="s">
        <v>990</v>
      </c>
      <c r="DG17" s="1095" t="s">
        <v>989</v>
      </c>
      <c r="DH17" s="1095" t="s">
        <v>990</v>
      </c>
      <c r="DI17" s="1095" t="s">
        <v>989</v>
      </c>
      <c r="DJ17" s="1095" t="s">
        <v>990</v>
      </c>
      <c r="DK17" s="2277"/>
      <c r="DL17" s="2269"/>
      <c r="DM17" s="2269"/>
      <c r="DN17" s="2269"/>
      <c r="DO17" s="2269"/>
      <c r="DP17" s="2269"/>
      <c r="DQ17" s="2269"/>
      <c r="DR17" s="2269"/>
      <c r="DS17" s="2269"/>
      <c r="DT17" s="2269"/>
      <c r="DU17" s="2269"/>
      <c r="DV17" s="2269"/>
      <c r="DW17" s="2269"/>
      <c r="DX17" s="2269"/>
      <c r="DY17" s="2269"/>
      <c r="DZ17" s="2269"/>
      <c r="EA17" s="2269"/>
      <c r="EB17" s="2269"/>
      <c r="EC17" s="2269"/>
      <c r="ED17" s="2269"/>
      <c r="EE17" s="2269"/>
      <c r="EF17" s="2269"/>
      <c r="EG17" s="2269"/>
      <c r="EH17" s="2269"/>
      <c r="EI17" s="2269"/>
      <c r="EJ17" s="2269"/>
      <c r="EK17" s="2269"/>
      <c r="EL17" s="2269"/>
      <c r="EM17" s="2269"/>
      <c r="EN17" s="2269"/>
      <c r="EO17" s="2269"/>
      <c r="EP17" s="2269"/>
      <c r="EQ17" s="2269"/>
      <c r="ER17" s="2269"/>
      <c r="ES17" s="2269"/>
      <c r="ET17" s="2269"/>
      <c r="EU17" s="2269"/>
      <c r="EV17" s="2269"/>
      <c r="EW17" s="2269"/>
      <c r="EX17" s="2269"/>
      <c r="EY17" s="2269"/>
      <c r="EZ17" s="2269"/>
      <c r="FA17" s="2269"/>
      <c r="FB17" s="2269"/>
      <c r="FC17" s="2269"/>
      <c r="FD17" s="2269"/>
      <c r="FE17" s="2269"/>
      <c r="FF17" s="2269"/>
      <c r="FG17" s="2269"/>
      <c r="FH17" s="2269"/>
      <c r="FI17" s="2269"/>
      <c r="FJ17" s="2269"/>
      <c r="FK17" s="2269"/>
      <c r="FL17" s="2269"/>
      <c r="FM17" s="2269"/>
      <c r="FN17" s="2269"/>
      <c r="FO17" s="2269"/>
      <c r="FP17" s="2269"/>
      <c r="FQ17" s="2269"/>
      <c r="FR17" s="2269"/>
      <c r="FS17" s="2269"/>
      <c r="FT17" s="2269"/>
      <c r="FU17" s="2269"/>
      <c r="FV17" s="2269"/>
      <c r="FW17" s="2276"/>
      <c r="FX17" s="680"/>
    </row>
    <row r="18" spans="1:184" s="1925" customFormat="1" ht="12" hidden="1" customHeight="1">
      <c r="B18" s="837"/>
      <c r="E18" s="850"/>
      <c r="F18" s="1096"/>
      <c r="G18" s="1096"/>
      <c r="H18" s="1096"/>
      <c r="I18" s="1096"/>
      <c r="J18" s="1097"/>
      <c r="K18" s="1097"/>
      <c r="L18" s="1097"/>
      <c r="M18" s="1097"/>
      <c r="N18" s="1097"/>
      <c r="O18" s="1096"/>
      <c r="P18" s="1096"/>
      <c r="Q18" s="1096"/>
      <c r="R18" s="1096"/>
      <c r="S18" s="1096"/>
      <c r="T18" s="1096"/>
      <c r="U18" s="1098"/>
      <c r="V18" s="1098"/>
      <c r="W18" s="1098"/>
      <c r="X18" s="1098"/>
      <c r="Y18" s="1098"/>
      <c r="Z18" s="1098"/>
      <c r="AA18" s="1098"/>
      <c r="AB18" s="1096"/>
      <c r="AC18" s="1097"/>
      <c r="AD18" s="1097"/>
      <c r="AE18" s="1097"/>
      <c r="AF18" s="1097"/>
      <c r="AG18" s="1097"/>
      <c r="AH18" s="1097"/>
      <c r="AI18" s="1097"/>
      <c r="AJ18" s="1097"/>
      <c r="AK18" s="1097"/>
      <c r="AL18" s="1097"/>
      <c r="AM18" s="1097"/>
      <c r="AN18" s="1097"/>
      <c r="AO18" s="1097"/>
      <c r="AP18" s="1097"/>
      <c r="AQ18" s="1097"/>
      <c r="AR18" s="1097"/>
      <c r="AS18" s="1097"/>
      <c r="AT18" s="1097"/>
      <c r="AU18" s="1097"/>
      <c r="AV18" s="1097"/>
      <c r="AW18" s="1097"/>
      <c r="AX18" s="1097"/>
      <c r="AY18" s="1097"/>
      <c r="AZ18" s="1097"/>
      <c r="BA18" s="1097"/>
      <c r="BB18" s="1097"/>
      <c r="BC18" s="1097"/>
      <c r="BD18" s="1097"/>
      <c r="BE18" s="1097"/>
      <c r="BF18" s="1097"/>
      <c r="BG18" s="1097"/>
      <c r="BH18" s="1097"/>
      <c r="BI18" s="1097"/>
      <c r="BJ18" s="1097"/>
      <c r="BK18" s="1097"/>
      <c r="BL18" s="1097"/>
      <c r="BM18" s="1097"/>
      <c r="BN18" s="1097"/>
      <c r="BO18" s="1097"/>
      <c r="BP18" s="1097"/>
      <c r="BQ18" s="1097"/>
      <c r="BR18" s="1097"/>
      <c r="BS18" s="1097"/>
      <c r="BT18" s="1099"/>
      <c r="BU18" s="1099"/>
      <c r="BV18" s="1099"/>
      <c r="BW18" s="1099"/>
      <c r="BX18" s="1099"/>
      <c r="BY18" s="1099"/>
      <c r="BZ18" s="1099"/>
      <c r="CA18" s="1099"/>
      <c r="CB18" s="1099"/>
      <c r="CC18" s="1099"/>
      <c r="CD18" s="1099"/>
      <c r="CE18" s="1099"/>
      <c r="CF18" s="1099"/>
      <c r="CG18" s="1099"/>
      <c r="CH18" s="1099"/>
      <c r="CI18" s="1099"/>
      <c r="CJ18" s="1099"/>
      <c r="CK18" s="1099"/>
      <c r="CL18" s="1097"/>
      <c r="CM18" s="1097"/>
      <c r="CN18" s="1097"/>
      <c r="CO18" s="1097"/>
      <c r="CP18" s="1097"/>
      <c r="CQ18" s="1097"/>
      <c r="CR18" s="1097"/>
      <c r="CS18" s="1097"/>
      <c r="CT18" s="1097"/>
      <c r="CU18" s="1097"/>
      <c r="CV18" s="1097"/>
      <c r="CW18" s="1097"/>
      <c r="CX18" s="1097"/>
      <c r="CY18" s="1099"/>
      <c r="CZ18" s="1099"/>
      <c r="DA18" s="1099"/>
      <c r="DB18" s="1099"/>
      <c r="DC18" s="1099"/>
      <c r="DD18" s="1099"/>
      <c r="DE18" s="1099"/>
      <c r="DF18" s="1099"/>
      <c r="DG18" s="1099"/>
      <c r="DH18" s="1099"/>
      <c r="DI18" s="1099"/>
      <c r="DJ18" s="1099"/>
      <c r="DK18" s="1097"/>
      <c r="DL18" s="1097"/>
      <c r="DM18" s="1097"/>
      <c r="DN18" s="1097"/>
      <c r="DO18" s="1097"/>
      <c r="DP18" s="1097"/>
      <c r="DQ18" s="1097"/>
      <c r="DR18" s="1097"/>
      <c r="DS18" s="1097"/>
      <c r="DT18" s="1097"/>
      <c r="DU18" s="1097"/>
      <c r="DV18" s="1097"/>
      <c r="DW18" s="1097"/>
      <c r="DX18" s="1097"/>
      <c r="DY18" s="1097"/>
      <c r="DZ18" s="1097"/>
      <c r="EA18" s="1097"/>
      <c r="EB18" s="1097"/>
      <c r="EC18" s="1097"/>
      <c r="ED18" s="1097"/>
      <c r="EE18" s="1097"/>
      <c r="EF18" s="1097"/>
      <c r="EG18" s="1097"/>
      <c r="EH18" s="1097"/>
      <c r="EI18" s="1097"/>
      <c r="EJ18" s="1097"/>
      <c r="EK18" s="1097"/>
      <c r="EL18" s="1097"/>
      <c r="EM18" s="1097"/>
      <c r="EN18" s="1097"/>
      <c r="EO18" s="1097"/>
      <c r="EP18" s="1097"/>
      <c r="EQ18" s="1097"/>
      <c r="ER18" s="1097"/>
      <c r="ES18" s="1097"/>
      <c r="ET18" s="1097"/>
      <c r="EU18" s="1097"/>
      <c r="EV18" s="1097"/>
      <c r="EW18" s="1097"/>
      <c r="EX18" s="1097"/>
      <c r="EY18" s="1097"/>
      <c r="EZ18" s="1097"/>
      <c r="FA18" s="1097"/>
      <c r="FB18" s="1097"/>
      <c r="FC18" s="1097"/>
      <c r="FD18" s="1097"/>
      <c r="FE18" s="1097"/>
      <c r="FF18" s="1097"/>
      <c r="FG18" s="1097"/>
      <c r="FH18" s="1097"/>
      <c r="FI18" s="1097"/>
      <c r="FJ18" s="1097"/>
      <c r="FK18" s="1097"/>
      <c r="FL18" s="1097"/>
      <c r="FM18" s="1097"/>
      <c r="FN18" s="1097"/>
      <c r="FO18" s="1097"/>
      <c r="FP18" s="1097"/>
      <c r="FQ18" s="1097"/>
      <c r="FR18" s="1097"/>
      <c r="FS18" s="1097"/>
      <c r="FT18" s="1097"/>
      <c r="FU18" s="1097"/>
      <c r="FV18" s="1097"/>
      <c r="FW18" s="1096"/>
      <c r="FX18" s="1100"/>
    </row>
    <row r="19" spans="1:184" s="1925" customFormat="1" ht="11.25" hidden="1" customHeight="1">
      <c r="B19" s="837"/>
      <c r="E19" s="850"/>
      <c r="F19" s="1096"/>
      <c r="G19" s="1096"/>
      <c r="H19" s="1096"/>
      <c r="I19" s="1096"/>
      <c r="J19" s="1096"/>
      <c r="K19" s="1096"/>
      <c r="L19" s="1096"/>
      <c r="M19" s="1096"/>
      <c r="N19" s="1096"/>
      <c r="O19" s="1096"/>
      <c r="P19" s="1096"/>
      <c r="Q19" s="1096"/>
      <c r="R19" s="1096"/>
      <c r="S19" s="1096"/>
      <c r="T19" s="1096"/>
      <c r="U19" s="1098"/>
      <c r="V19" s="1098"/>
      <c r="W19" s="1098"/>
      <c r="X19" s="1098"/>
      <c r="Y19" s="1098"/>
      <c r="Z19" s="1098"/>
      <c r="AA19" s="1098"/>
      <c r="AB19" s="1096"/>
      <c r="AC19" s="1096"/>
      <c r="AD19" s="1096"/>
      <c r="AE19" s="1096"/>
      <c r="AF19" s="1096"/>
      <c r="AG19" s="1096"/>
      <c r="AH19" s="1096"/>
      <c r="AI19" s="1096"/>
      <c r="AJ19" s="1096"/>
      <c r="AK19" s="1096"/>
      <c r="AL19" s="1096"/>
      <c r="AM19" s="1096"/>
      <c r="AN19" s="1096"/>
      <c r="AO19" s="1096"/>
      <c r="AP19" s="1096"/>
      <c r="AQ19" s="1096"/>
      <c r="AR19" s="1096"/>
      <c r="AS19" s="1096"/>
      <c r="AT19" s="1096"/>
      <c r="AU19" s="1096"/>
      <c r="AV19" s="1096"/>
      <c r="AW19" s="1096"/>
      <c r="AX19" s="1096"/>
      <c r="AY19" s="1096"/>
      <c r="AZ19" s="1096"/>
      <c r="BA19" s="1096"/>
      <c r="BB19" s="1096"/>
      <c r="BC19" s="1096"/>
      <c r="BD19" s="1096"/>
      <c r="BE19" s="1096"/>
      <c r="BF19" s="1096"/>
      <c r="BG19" s="1096"/>
      <c r="BH19" s="1096"/>
      <c r="BI19" s="1096"/>
      <c r="BJ19" s="1096"/>
      <c r="BK19" s="1096"/>
      <c r="BL19" s="1096"/>
      <c r="BM19" s="1096"/>
      <c r="BN19" s="1096"/>
      <c r="BO19" s="1096"/>
      <c r="BP19" s="1096"/>
      <c r="BQ19" s="1096"/>
      <c r="BR19" s="1096"/>
      <c r="BS19" s="1096"/>
      <c r="BT19" s="1096"/>
      <c r="BU19" s="1096"/>
      <c r="BV19" s="1096"/>
      <c r="BW19" s="1096"/>
      <c r="BX19" s="1096"/>
      <c r="BY19" s="1096"/>
      <c r="BZ19" s="1096"/>
      <c r="CA19" s="1096"/>
      <c r="CB19" s="1096"/>
      <c r="CC19" s="1096"/>
      <c r="CD19" s="1096"/>
      <c r="CE19" s="1096"/>
      <c r="CF19" s="1096"/>
      <c r="CG19" s="1096"/>
      <c r="CH19" s="1096"/>
      <c r="CI19" s="1096"/>
      <c r="CJ19" s="1096"/>
      <c r="CK19" s="1096"/>
      <c r="CL19" s="1096"/>
      <c r="CM19" s="1096"/>
      <c r="CN19" s="1096"/>
      <c r="CO19" s="1096"/>
      <c r="CP19" s="1096"/>
      <c r="CQ19" s="1096"/>
      <c r="CR19" s="1096"/>
      <c r="CS19" s="1096"/>
      <c r="CT19" s="1096"/>
      <c r="CU19" s="1096"/>
      <c r="CV19" s="1096"/>
      <c r="CW19" s="1096"/>
      <c r="CX19" s="1096"/>
      <c r="CY19" s="1096"/>
      <c r="CZ19" s="1096"/>
      <c r="DA19" s="1096"/>
      <c r="DB19" s="1096"/>
      <c r="DC19" s="1096"/>
      <c r="DD19" s="1096"/>
      <c r="DE19" s="1096"/>
      <c r="DF19" s="1096"/>
      <c r="DG19" s="1096"/>
      <c r="DH19" s="1096"/>
      <c r="DI19" s="1096"/>
      <c r="DJ19" s="1096"/>
      <c r="DK19" s="1096"/>
      <c r="DL19" s="1096"/>
      <c r="DM19" s="1096"/>
      <c r="DN19" s="1096"/>
      <c r="DO19" s="1096"/>
      <c r="DP19" s="1096"/>
      <c r="DQ19" s="1096"/>
      <c r="DR19" s="1096"/>
      <c r="DS19" s="1096"/>
      <c r="DT19" s="1096"/>
      <c r="DU19" s="1096"/>
      <c r="DV19" s="1096"/>
      <c r="DW19" s="1096"/>
      <c r="DX19" s="1096"/>
      <c r="DY19" s="1096"/>
      <c r="DZ19" s="1096"/>
      <c r="EA19" s="1096"/>
      <c r="EB19" s="1096"/>
      <c r="EC19" s="1096"/>
      <c r="ED19" s="1096"/>
      <c r="EE19" s="1096"/>
      <c r="EF19" s="1096"/>
      <c r="EG19" s="1096"/>
      <c r="EH19" s="1096"/>
      <c r="EI19" s="1096"/>
      <c r="EJ19" s="1096"/>
      <c r="EK19" s="1096"/>
      <c r="EL19" s="1096"/>
      <c r="EM19" s="1096"/>
      <c r="EN19" s="1096"/>
      <c r="EO19" s="1096"/>
      <c r="EP19" s="1096"/>
      <c r="EQ19" s="1096"/>
      <c r="ER19" s="1096"/>
      <c r="ES19" s="1096"/>
      <c r="ET19" s="1096"/>
      <c r="EU19" s="1096"/>
      <c r="EV19" s="1096"/>
      <c r="EW19" s="1096"/>
      <c r="EX19" s="1096"/>
      <c r="EY19" s="1096"/>
      <c r="EZ19" s="1096"/>
      <c r="FA19" s="1096"/>
      <c r="FB19" s="1096"/>
      <c r="FC19" s="1096"/>
      <c r="FD19" s="1096"/>
      <c r="FE19" s="1096"/>
      <c r="FF19" s="1096"/>
      <c r="FG19" s="1096"/>
      <c r="FH19" s="1096"/>
      <c r="FI19" s="1096"/>
      <c r="FJ19" s="1096"/>
      <c r="FK19" s="1096"/>
      <c r="FL19" s="1096"/>
      <c r="FM19" s="1096"/>
      <c r="FN19" s="1096"/>
      <c r="FO19" s="1096"/>
      <c r="FP19" s="1096"/>
      <c r="FQ19" s="1096"/>
      <c r="FR19" s="1096"/>
      <c r="FS19" s="1096"/>
      <c r="FT19" s="1096"/>
      <c r="FU19" s="1096"/>
      <c r="FV19" s="1096"/>
      <c r="FW19" s="1096"/>
      <c r="FX19" s="1100"/>
    </row>
    <row r="20" spans="1:184" s="1924" customFormat="1" ht="11.25" hidden="1" customHeight="1">
      <c r="B20" s="851"/>
      <c r="D20" s="838"/>
      <c r="E20" s="850"/>
      <c r="F20" s="1101" t="s">
        <v>346</v>
      </c>
      <c r="G20" s="1102"/>
      <c r="H20" s="1103"/>
      <c r="I20" s="1103"/>
      <c r="J20" s="1103"/>
      <c r="K20" s="1103"/>
      <c r="L20" s="1103"/>
      <c r="M20" s="1103"/>
      <c r="N20" s="1103"/>
      <c r="O20" s="1102"/>
      <c r="P20" s="1102"/>
      <c r="Q20" s="1102"/>
      <c r="R20" s="1102"/>
      <c r="S20" s="1102"/>
      <c r="T20" s="1102"/>
      <c r="U20" s="1104"/>
      <c r="V20" s="1104"/>
      <c r="W20" s="1104"/>
      <c r="X20" s="1104"/>
      <c r="Y20" s="1104"/>
      <c r="Z20" s="1104"/>
      <c r="AA20" s="1104"/>
      <c r="AB20" s="1102"/>
      <c r="AC20" s="1103"/>
      <c r="AD20" s="1103"/>
      <c r="AE20" s="1103"/>
      <c r="AF20" s="1103"/>
      <c r="AG20" s="1103"/>
      <c r="AH20" s="1103"/>
      <c r="AI20" s="1103"/>
      <c r="AJ20" s="1103"/>
      <c r="AK20" s="1103"/>
      <c r="AL20" s="1103"/>
      <c r="AM20" s="1103"/>
      <c r="AN20" s="1103"/>
      <c r="AO20" s="1103"/>
      <c r="AP20" s="1103"/>
      <c r="AQ20" s="1103"/>
      <c r="AR20" s="1103"/>
      <c r="AS20" s="1103"/>
      <c r="AT20" s="1103"/>
      <c r="AU20" s="1103"/>
      <c r="AV20" s="1103"/>
      <c r="AW20" s="1103"/>
      <c r="AX20" s="1103"/>
      <c r="AY20" s="1103"/>
      <c r="AZ20" s="1103"/>
      <c r="BA20" s="1103"/>
      <c r="BB20" s="1103"/>
      <c r="BC20" s="1103"/>
      <c r="BD20" s="1103"/>
      <c r="BE20" s="1103"/>
      <c r="BF20" s="1103"/>
      <c r="BG20" s="1103"/>
      <c r="BH20" s="1103"/>
      <c r="BI20" s="1103"/>
      <c r="BJ20" s="1103"/>
      <c r="BK20" s="1103"/>
      <c r="BL20" s="1103"/>
      <c r="BM20" s="1103"/>
      <c r="BN20" s="1103"/>
      <c r="BO20" s="1103"/>
      <c r="BP20" s="1103"/>
      <c r="BQ20" s="1103"/>
      <c r="BR20" s="1103"/>
      <c r="BS20" s="1103"/>
      <c r="BT20" s="1103"/>
      <c r="BU20" s="1103"/>
      <c r="BV20" s="1103"/>
      <c r="BW20" s="1103"/>
      <c r="BX20" s="1103"/>
      <c r="BY20" s="1103"/>
      <c r="BZ20" s="1103"/>
      <c r="CA20" s="1103"/>
      <c r="CB20" s="1103"/>
      <c r="CC20" s="1103"/>
      <c r="CD20" s="1103"/>
      <c r="CE20" s="1103"/>
      <c r="CF20" s="1103"/>
      <c r="CG20" s="1103"/>
      <c r="CH20" s="1103"/>
      <c r="CI20" s="1103"/>
      <c r="CJ20" s="1103"/>
      <c r="CK20" s="1103"/>
      <c r="CL20" s="1105"/>
      <c r="CM20" s="1105"/>
      <c r="CN20" s="1105"/>
      <c r="CO20" s="1105"/>
      <c r="CP20" s="1105"/>
      <c r="CQ20" s="1105"/>
      <c r="CR20" s="1105"/>
      <c r="CS20" s="1105"/>
      <c r="CT20" s="1105"/>
      <c r="CU20" s="1105"/>
      <c r="CV20" s="1105"/>
      <c r="CW20" s="1105"/>
      <c r="CX20" s="1105"/>
      <c r="CY20" s="1105"/>
      <c r="CZ20" s="1105"/>
      <c r="DA20" s="1105"/>
      <c r="DB20" s="1105"/>
      <c r="DC20" s="1105"/>
      <c r="DD20" s="1105"/>
      <c r="DE20" s="1105"/>
      <c r="DF20" s="1105"/>
      <c r="DG20" s="1105"/>
      <c r="DH20" s="1105"/>
      <c r="DI20" s="1105"/>
      <c r="DJ20" s="1105"/>
      <c r="DK20" s="1105"/>
      <c r="DL20" s="1105"/>
      <c r="DM20" s="1105"/>
      <c r="DN20" s="1105"/>
      <c r="DO20" s="1105"/>
      <c r="DP20" s="1105"/>
      <c r="DQ20" s="1105"/>
      <c r="DR20" s="1105"/>
      <c r="DS20" s="1105"/>
      <c r="DT20" s="1105"/>
      <c r="DU20" s="1105"/>
      <c r="DV20" s="1105"/>
      <c r="DW20" s="1105"/>
      <c r="DX20" s="1105"/>
      <c r="DY20" s="1105"/>
      <c r="DZ20" s="1105"/>
      <c r="EA20" s="1105"/>
      <c r="EB20" s="1105"/>
      <c r="EC20" s="1105"/>
      <c r="ED20" s="1105"/>
      <c r="EE20" s="1105"/>
      <c r="EF20" s="1105"/>
      <c r="EG20" s="1105"/>
      <c r="EH20" s="1105"/>
      <c r="EI20" s="1105"/>
      <c r="EJ20" s="1105"/>
      <c r="EK20" s="1105"/>
      <c r="EL20" s="1105"/>
      <c r="EM20" s="1105"/>
      <c r="EN20" s="1105"/>
      <c r="EO20" s="1105"/>
      <c r="EP20" s="1105"/>
      <c r="EQ20" s="1105"/>
      <c r="ER20" s="1105"/>
      <c r="ES20" s="1105"/>
      <c r="ET20" s="1105"/>
      <c r="EU20" s="1105"/>
      <c r="EV20" s="1105"/>
      <c r="EW20" s="1105"/>
      <c r="EX20" s="1105"/>
      <c r="EY20" s="1105"/>
      <c r="EZ20" s="1105"/>
      <c r="FA20" s="1105"/>
      <c r="FB20" s="1105"/>
      <c r="FC20" s="1105"/>
      <c r="FD20" s="1105"/>
      <c r="FE20" s="1105"/>
      <c r="FF20" s="1105"/>
      <c r="FG20" s="1105"/>
      <c r="FH20" s="1105"/>
      <c r="FI20" s="1105"/>
      <c r="FJ20" s="1105"/>
      <c r="FK20" s="1105"/>
      <c r="FL20" s="1105"/>
      <c r="FM20" s="1105"/>
      <c r="FN20" s="1105"/>
      <c r="FO20" s="1105"/>
      <c r="FP20" s="1105"/>
      <c r="FQ20" s="1105"/>
      <c r="FR20" s="1105"/>
      <c r="FS20" s="1105"/>
      <c r="FT20" s="1105"/>
      <c r="FU20" s="1105"/>
      <c r="FV20" s="1105"/>
      <c r="FW20" s="1105"/>
      <c r="FX20" s="1106"/>
    </row>
    <row r="21" spans="1:184" s="1924" customFormat="1" ht="12" customHeight="1">
      <c r="A21" s="852"/>
      <c r="B21" s="852"/>
      <c r="C21" s="852"/>
      <c r="D21" s="852"/>
      <c r="E21" s="852"/>
      <c r="F21" s="850"/>
      <c r="G21" s="850"/>
      <c r="H21" s="850"/>
      <c r="I21" s="850"/>
      <c r="J21" s="850"/>
      <c r="K21" s="850"/>
      <c r="L21" s="850"/>
      <c r="M21" s="850"/>
      <c r="N21" s="850"/>
      <c r="O21" s="850"/>
      <c r="P21" s="850"/>
      <c r="Q21" s="850"/>
      <c r="R21" s="850"/>
      <c r="S21" s="853"/>
      <c r="T21" s="853"/>
      <c r="U21" s="850"/>
      <c r="V21" s="850"/>
      <c r="W21" s="850"/>
      <c r="X21" s="850"/>
      <c r="Y21" s="850"/>
      <c r="Z21" s="850"/>
      <c r="AA21" s="850"/>
      <c r="AB21" s="850"/>
      <c r="AC21" s="850"/>
      <c r="AD21" s="850"/>
      <c r="AE21" s="850"/>
      <c r="AF21" s="850"/>
      <c r="AG21" s="850"/>
      <c r="AH21" s="850"/>
      <c r="AI21" s="850"/>
      <c r="AJ21" s="850"/>
      <c r="AK21" s="850"/>
      <c r="AL21" s="850"/>
      <c r="AM21" s="850"/>
      <c r="AN21" s="850"/>
      <c r="AO21" s="850"/>
      <c r="AP21" s="850"/>
      <c r="AQ21" s="850"/>
      <c r="AR21" s="850"/>
      <c r="AS21" s="850"/>
      <c r="AT21" s="850"/>
      <c r="AU21" s="850"/>
      <c r="AV21" s="850"/>
      <c r="AW21" s="850"/>
      <c r="AX21" s="850"/>
      <c r="AY21" s="850"/>
      <c r="AZ21" s="850"/>
      <c r="BA21" s="850"/>
      <c r="BB21" s="850"/>
      <c r="BC21" s="850"/>
      <c r="BD21" s="850"/>
      <c r="BE21" s="850"/>
      <c r="BF21" s="850"/>
      <c r="BG21" s="850"/>
      <c r="BH21" s="850"/>
      <c r="BI21" s="850"/>
      <c r="BJ21" s="850"/>
      <c r="BK21" s="850"/>
      <c r="BL21" s="850"/>
      <c r="BM21" s="850"/>
      <c r="BN21" s="850"/>
      <c r="BO21" s="850"/>
      <c r="BP21" s="850"/>
      <c r="BQ21" s="850"/>
      <c r="BR21" s="850"/>
      <c r="BS21" s="850"/>
      <c r="BT21" s="850"/>
      <c r="BU21" s="850"/>
      <c r="BV21" s="850"/>
      <c r="BW21" s="850"/>
      <c r="BX21" s="850"/>
      <c r="BY21" s="850"/>
      <c r="BZ21" s="850"/>
      <c r="CA21" s="850"/>
      <c r="CB21" s="850"/>
      <c r="CC21" s="850"/>
      <c r="CD21" s="850"/>
      <c r="CE21" s="850"/>
      <c r="CF21" s="850"/>
      <c r="CG21" s="850"/>
      <c r="CH21" s="850"/>
      <c r="CI21" s="850"/>
      <c r="CJ21" s="850"/>
      <c r="CK21" s="850"/>
      <c r="CL21" s="850"/>
      <c r="CM21" s="850"/>
      <c r="CN21" s="850"/>
      <c r="CO21" s="850"/>
      <c r="CP21" s="850"/>
      <c r="CQ21" s="850"/>
      <c r="CR21" s="850"/>
      <c r="CS21" s="850"/>
      <c r="CT21" s="850"/>
      <c r="CU21" s="850"/>
      <c r="CV21" s="850"/>
      <c r="CW21" s="850"/>
      <c r="CX21" s="850"/>
      <c r="CY21" s="850"/>
      <c r="CZ21" s="850"/>
      <c r="DA21" s="850"/>
      <c r="DB21" s="850"/>
      <c r="DC21" s="850"/>
      <c r="DD21" s="850"/>
      <c r="DE21" s="850"/>
      <c r="DF21" s="850"/>
      <c r="DG21" s="850"/>
      <c r="DH21" s="850"/>
      <c r="DI21" s="850"/>
      <c r="DJ21" s="850"/>
      <c r="DK21" s="850"/>
      <c r="DL21" s="850"/>
      <c r="DM21" s="850"/>
      <c r="DN21" s="850"/>
      <c r="DO21" s="850"/>
      <c r="DP21" s="850"/>
      <c r="DQ21" s="850"/>
      <c r="DR21" s="850"/>
      <c r="DS21" s="850"/>
      <c r="DT21" s="850"/>
      <c r="DU21" s="850"/>
      <c r="DV21" s="850"/>
      <c r="DW21" s="850"/>
      <c r="DX21" s="850"/>
      <c r="DY21" s="850"/>
      <c r="DZ21" s="850"/>
      <c r="EA21" s="850"/>
      <c r="EB21" s="850"/>
      <c r="EC21" s="850"/>
      <c r="ED21" s="850"/>
      <c r="EE21" s="850"/>
      <c r="EF21" s="850"/>
      <c r="EG21" s="850"/>
      <c r="EH21" s="850"/>
      <c r="EI21" s="850"/>
      <c r="EJ21" s="850"/>
      <c r="EK21" s="850"/>
      <c r="EL21" s="850"/>
      <c r="EM21" s="850"/>
      <c r="EN21" s="850"/>
      <c r="EO21" s="850"/>
      <c r="EP21" s="850"/>
      <c r="EQ21" s="850"/>
      <c r="ER21" s="850"/>
      <c r="ES21" s="850"/>
      <c r="ET21" s="850"/>
      <c r="EU21" s="850"/>
      <c r="EV21" s="850"/>
      <c r="EW21" s="850"/>
      <c r="EX21" s="850"/>
      <c r="EY21" s="850"/>
      <c r="EZ21" s="850"/>
      <c r="FA21" s="850"/>
      <c r="FB21" s="850"/>
      <c r="FC21" s="850"/>
      <c r="FD21" s="850"/>
      <c r="FE21" s="850"/>
      <c r="FF21" s="850"/>
      <c r="FG21" s="850"/>
      <c r="FH21" s="850"/>
      <c r="FI21" s="850"/>
      <c r="FJ21" s="850"/>
      <c r="FK21" s="850"/>
      <c r="FL21" s="850"/>
      <c r="FM21" s="850"/>
      <c r="FN21" s="850"/>
      <c r="FO21" s="850"/>
      <c r="FP21" s="850"/>
      <c r="FQ21" s="850"/>
      <c r="FR21" s="850"/>
      <c r="FS21" s="850"/>
      <c r="FT21" s="850"/>
      <c r="FU21" s="850"/>
      <c r="FV21" s="850"/>
      <c r="FW21" s="850"/>
      <c r="FX21" s="852"/>
      <c r="FY21" s="852"/>
      <c r="FZ21" s="852"/>
      <c r="GA21" s="852"/>
      <c r="GB21" s="852"/>
    </row>
    <row r="22" spans="1:184" s="1924" customFormat="1" ht="12" customHeight="1">
      <c r="A22" s="852"/>
      <c r="B22" s="852"/>
      <c r="C22" s="852"/>
      <c r="D22" s="852"/>
      <c r="E22" s="852"/>
      <c r="FX22" s="852"/>
      <c r="FY22" s="852"/>
      <c r="FZ22" s="852"/>
      <c r="GA22" s="852"/>
      <c r="GB22" s="852"/>
    </row>
    <row r="23" spans="1:184" s="1930" customFormat="1" ht="12" customHeight="1">
      <c r="A23" s="971"/>
      <c r="B23" s="971"/>
      <c r="C23" s="971"/>
      <c r="D23" s="971"/>
      <c r="E23" s="971"/>
      <c r="O23" s="972"/>
      <c r="P23" s="972"/>
      <c r="Q23" s="972"/>
      <c r="R23" s="972"/>
      <c r="S23" s="972"/>
      <c r="T23" s="972"/>
      <c r="U23" s="972"/>
      <c r="V23" s="972"/>
      <c r="W23" s="972"/>
      <c r="X23" s="972"/>
      <c r="Y23" s="972"/>
      <c r="Z23" s="972"/>
      <c r="AA23" s="972"/>
      <c r="AB23" s="972"/>
      <c r="AC23" s="972"/>
      <c r="AD23" s="972"/>
      <c r="AE23" s="972"/>
      <c r="AF23" s="972"/>
      <c r="AG23" s="972"/>
      <c r="AH23" s="972"/>
      <c r="AI23" s="972"/>
      <c r="AJ23" s="972"/>
      <c r="AK23" s="972"/>
      <c r="AL23" s="972"/>
      <c r="AM23" s="972"/>
      <c r="AN23" s="972"/>
      <c r="AO23" s="972"/>
      <c r="AP23" s="972"/>
      <c r="AQ23" s="972"/>
      <c r="AR23" s="972"/>
      <c r="AS23" s="972"/>
      <c r="AT23" s="972"/>
      <c r="AU23" s="972"/>
      <c r="AV23" s="972"/>
      <c r="AW23" s="972"/>
      <c r="AX23" s="972"/>
      <c r="AY23" s="972"/>
      <c r="AZ23" s="972"/>
      <c r="BA23" s="972"/>
      <c r="BB23" s="972"/>
      <c r="BC23" s="972"/>
      <c r="BD23" s="972"/>
      <c r="BE23" s="972"/>
      <c r="BF23" s="972"/>
      <c r="BG23" s="972"/>
      <c r="BH23" s="972"/>
      <c r="BI23" s="972"/>
      <c r="BJ23" s="972"/>
      <c r="BK23" s="972"/>
      <c r="BL23" s="972"/>
      <c r="BM23" s="972"/>
      <c r="BN23" s="972"/>
      <c r="BO23" s="972"/>
      <c r="BP23" s="972"/>
      <c r="BQ23" s="972"/>
      <c r="BR23" s="972"/>
      <c r="BS23" s="972"/>
      <c r="BT23" s="973"/>
      <c r="BU23" s="973"/>
      <c r="BV23" s="973"/>
      <c r="BW23" s="973"/>
      <c r="BX23" s="973"/>
      <c r="BY23" s="973"/>
      <c r="BZ23" s="973"/>
      <c r="CA23" s="973"/>
      <c r="CB23" s="973"/>
      <c r="CC23" s="973"/>
      <c r="CD23" s="973"/>
      <c r="CE23" s="973"/>
      <c r="CF23" s="973"/>
      <c r="CG23" s="973"/>
      <c r="CH23" s="973"/>
      <c r="CI23" s="973"/>
      <c r="CJ23" s="973"/>
      <c r="CK23" s="973"/>
      <c r="CL23" s="973"/>
      <c r="CM23" s="973"/>
      <c r="CN23" s="973"/>
      <c r="CO23" s="973"/>
      <c r="CP23" s="973"/>
      <c r="CQ23" s="973"/>
      <c r="CR23" s="973"/>
      <c r="CS23" s="973"/>
      <c r="CT23" s="973"/>
      <c r="CU23" s="973"/>
      <c r="CV23" s="973"/>
      <c r="CW23" s="973"/>
      <c r="CX23" s="973"/>
      <c r="CY23" s="973"/>
      <c r="CZ23" s="973"/>
      <c r="DA23" s="973"/>
      <c r="DB23" s="973"/>
      <c r="DC23" s="973"/>
      <c r="DD23" s="973"/>
      <c r="DE23" s="973"/>
      <c r="DF23" s="973"/>
      <c r="DG23" s="973"/>
      <c r="DH23" s="973"/>
      <c r="DI23" s="973"/>
      <c r="DJ23" s="973"/>
      <c r="DK23" s="973"/>
      <c r="DL23" s="973"/>
      <c r="DM23" s="973"/>
      <c r="DN23" s="973"/>
      <c r="DO23" s="973"/>
      <c r="DP23" s="973"/>
      <c r="DQ23" s="973"/>
      <c r="DR23" s="973"/>
      <c r="DS23" s="973"/>
      <c r="DT23" s="973"/>
      <c r="DU23" s="973"/>
      <c r="DV23" s="973"/>
      <c r="DW23" s="973"/>
      <c r="DX23" s="973"/>
      <c r="FX23" s="971"/>
      <c r="FY23" s="971"/>
      <c r="FZ23" s="971"/>
      <c r="GA23" s="971"/>
      <c r="GB23" s="971"/>
    </row>
    <row r="24" spans="1:184" ht="12" customHeight="1">
      <c r="S24" s="849"/>
      <c r="T24" s="849"/>
      <c r="U24" s="849"/>
      <c r="V24" s="849"/>
      <c r="W24" s="849"/>
      <c r="X24" s="849"/>
      <c r="Y24" s="849"/>
      <c r="Z24" s="849"/>
      <c r="AA24" s="849"/>
      <c r="AB24" s="849"/>
      <c r="FX24" s="849"/>
      <c r="FY24" s="849"/>
      <c r="FZ24" s="849"/>
      <c r="GA24" s="849"/>
      <c r="GB24" s="849"/>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R22"/>
  <sheetViews>
    <sheetView showGridLines="0" topLeftCell="C4" zoomScale="90" workbookViewId="0">
      <selection activeCell="I25" sqref="I25"/>
    </sheetView>
  </sheetViews>
  <sheetFormatPr defaultColWidth="10.5703125" defaultRowHeight="15" customHeight="1"/>
  <cols>
    <col min="1" max="1" width="9.140625" style="1871" hidden="1" customWidth="1"/>
    <col min="2" max="2" width="9.140625" style="1873" hidden="1" customWidth="1"/>
    <col min="3" max="3" width="4.7109375" style="1918" customWidth="1"/>
    <col min="4" max="4" width="6.28515625" style="1873" customWidth="1"/>
    <col min="5" max="5" width="36.7109375" style="1873" customWidth="1"/>
    <col min="6" max="6" width="9.5703125" style="1873" customWidth="1"/>
    <col min="7" max="7" width="42.42578125" style="1814" hidden="1" customWidth="1"/>
    <col min="8" max="8" width="40.7109375" style="1873" customWidth="1"/>
    <col min="9" max="9" width="93.42578125" style="1815" customWidth="1"/>
    <col min="10" max="17" width="10.5703125" style="1873"/>
    <col min="18" max="18" width="10.5703125" style="1917"/>
  </cols>
  <sheetData>
    <row r="1" spans="1:18" s="1815" customFormat="1" ht="15" hidden="1" customHeight="1">
      <c r="C1" s="592"/>
      <c r="H1" s="350">
        <v>4</v>
      </c>
      <c r="R1" s="352"/>
    </row>
    <row r="2" spans="1:18" ht="22.5" hidden="1" customHeight="1">
      <c r="D2" s="463"/>
      <c r="E2" s="583"/>
      <c r="F2" s="1673" t="str">
        <f>IF(TEMPLATE_SPHERE="HEAT","Гкал/час","тыс. куб. м/сутки")</f>
        <v>тыс. куб. м/сутки</v>
      </c>
      <c r="G2" s="600"/>
      <c r="H2" s="600"/>
      <c r="I2" s="206"/>
    </row>
    <row r="3" spans="1:18" s="1815" customFormat="1" ht="15" hidden="1" customHeight="1">
      <c r="C3" s="592"/>
      <c r="R3" s="352"/>
    </row>
    <row r="4" spans="1:18" ht="15" customHeight="1">
      <c r="C4" s="97"/>
      <c r="D4" s="434"/>
      <c r="E4" s="434"/>
      <c r="F4" s="434"/>
      <c r="G4" s="434"/>
      <c r="H4" s="434"/>
    </row>
    <row r="5" spans="1:18" ht="37.5" customHeight="1">
      <c r="C5" s="97"/>
      <c r="D5" s="212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127"/>
      <c r="F5" s="2127"/>
      <c r="G5" s="2127"/>
      <c r="H5" s="2127"/>
      <c r="I5" s="461"/>
    </row>
    <row r="6" spans="1:18" ht="15" customHeight="1">
      <c r="C6" s="97"/>
      <c r="D6" s="2098" t="str">
        <f>IF(org=0,"Не определено",org)</f>
        <v>ООО "Горводоканал"</v>
      </c>
      <c r="E6" s="2098"/>
      <c r="F6" s="2098"/>
      <c r="G6" s="2098"/>
      <c r="H6" s="2098"/>
      <c r="I6" s="461"/>
    </row>
    <row r="7" spans="1:18" s="1814" customFormat="1" ht="15" customHeight="1">
      <c r="A7" s="677"/>
      <c r="C7" s="97"/>
      <c r="D7" s="596"/>
      <c r="E7" s="596"/>
      <c r="F7" s="596"/>
      <c r="G7" s="596"/>
      <c r="H7" s="670"/>
      <c r="I7" s="461"/>
      <c r="R7" s="595"/>
    </row>
    <row r="8" spans="1:18" ht="0.75" customHeight="1">
      <c r="C8" s="97"/>
      <c r="D8" s="434"/>
      <c r="E8" s="434"/>
      <c r="F8" s="434"/>
      <c r="G8" s="434"/>
      <c r="H8" s="461" t="s">
        <v>99</v>
      </c>
    </row>
    <row r="9" spans="1:18" ht="15" customHeight="1">
      <c r="C9" s="97"/>
      <c r="D9" s="629"/>
      <c r="E9" s="2224" t="s">
        <v>87</v>
      </c>
      <c r="F9" s="2225"/>
      <c r="G9" s="734" t="str">
        <f>IF(G8="","",INDEX(DIFFERENTIATION_UNMERGE_VD,MATCH(G8,DIFFERENTIATION_ID_DIFF,0)))</f>
        <v/>
      </c>
      <c r="H9" s="734">
        <f>IF(H8="","",INDEX(DIFFERENTIATION_UNMERGE_VD,MATCH(H8,DIFFERENTIATION_ID_DIFF,0)))</f>
        <v>0</v>
      </c>
      <c r="I9" s="2019" t="s">
        <v>269</v>
      </c>
    </row>
    <row r="10" spans="1:18" s="1814" customFormat="1" ht="15" customHeight="1">
      <c r="A10" s="677"/>
      <c r="C10" s="97"/>
      <c r="D10" s="629"/>
      <c r="E10" s="2224" t="s">
        <v>526</v>
      </c>
      <c r="F10" s="2225"/>
      <c r="G10" s="734" t="str">
        <f>IF(G8="","",INDEX(DIFFERENTIATION_UNMERGE_AREA,MATCH(G8,DIFFERENTIATION_ID_DIFF,0)))</f>
        <v/>
      </c>
      <c r="H10" s="734" t="str">
        <f>IF(H8="","",INDEX(DIFFERENTIATION_UNMERGE_AREA,MATCH(H8,DIFFERENTIATION_ID_DIFF,0)))</f>
        <v/>
      </c>
      <c r="I10" s="2019"/>
      <c r="R10" s="595"/>
    </row>
    <row r="11" spans="1:18" s="1814" customFormat="1" ht="15" customHeight="1">
      <c r="A11" s="677"/>
      <c r="C11" s="97"/>
      <c r="D11" s="629"/>
      <c r="E11" s="2224" t="s">
        <v>527</v>
      </c>
      <c r="F11" s="2225"/>
      <c r="G11" s="734" t="str">
        <f>IF(G8="","",INDEX(DIFFERENTIATION_UNMERGE_SYSTEM,MATCH(G8,DIFFERENTIATION_ID_DIFF,0)))</f>
        <v/>
      </c>
      <c r="H11" s="734" t="str">
        <f>IF(H8="","",INDEX(DIFFERENTIATION_UNMERGE_SYSTEM,MATCH(H8,DIFFERENTIATION_ID_DIFF,0)))</f>
        <v>без дифференциации</v>
      </c>
      <c r="I11" s="2019"/>
      <c r="R11" s="595"/>
    </row>
    <row r="12" spans="1:18" s="1814" customFormat="1" ht="15" customHeight="1">
      <c r="A12" s="677"/>
      <c r="C12" s="97"/>
      <c r="D12" s="2226" t="s">
        <v>268</v>
      </c>
      <c r="E12" s="2227"/>
      <c r="F12" s="2227"/>
      <c r="G12" s="801"/>
      <c r="H12" s="801"/>
      <c r="I12" s="2019"/>
      <c r="R12" s="595"/>
    </row>
    <row r="13" spans="1:18" ht="33.75" customHeight="1">
      <c r="C13" s="97"/>
      <c r="D13" s="679" t="s">
        <v>73</v>
      </c>
      <c r="E13" s="678" t="s">
        <v>270</v>
      </c>
      <c r="F13" s="678" t="s">
        <v>528</v>
      </c>
      <c r="G13" s="726" t="s">
        <v>271</v>
      </c>
      <c r="H13" s="672" t="s">
        <v>271</v>
      </c>
      <c r="I13" s="2019"/>
    </row>
    <row r="14" spans="1:18" ht="15" hidden="1" customHeight="1">
      <c r="C14" s="97"/>
      <c r="D14" s="515" t="s">
        <v>91</v>
      </c>
      <c r="E14" s="515" t="s">
        <v>92</v>
      </c>
      <c r="F14" s="515" t="s">
        <v>75</v>
      </c>
      <c r="G14" s="579" t="str">
        <f>G1&amp;".1"</f>
        <v>.1</v>
      </c>
      <c r="H14" s="579" t="str">
        <f>H1&amp;".1"</f>
        <v>4.1</v>
      </c>
      <c r="I14" s="206"/>
    </row>
    <row r="15" spans="1:18" ht="15" customHeight="1">
      <c r="A15" s="430"/>
      <c r="C15" s="451"/>
      <c r="D15" s="446">
        <v>1</v>
      </c>
      <c r="E15" s="597" t="str">
        <f>TP_P_A</f>
        <v xml:space="preserve">Количество поданных заявлений </v>
      </c>
      <c r="F15" s="446" t="s">
        <v>991</v>
      </c>
      <c r="G15" s="604"/>
      <c r="H15" s="604">
        <v>110</v>
      </c>
      <c r="I15" s="12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row>
    <row r="16" spans="1:18" ht="15" customHeight="1">
      <c r="A16" s="430"/>
      <c r="C16" s="451"/>
      <c r="D16" s="446">
        <v>2</v>
      </c>
      <c r="E16" s="197" t="str">
        <f>TP_P_B</f>
        <v xml:space="preserve">Количество исполненных заявлений </v>
      </c>
      <c r="F16" s="446" t="s">
        <v>991</v>
      </c>
      <c r="G16" s="604"/>
      <c r="H16" s="604">
        <v>25</v>
      </c>
      <c r="I16" s="12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row>
    <row r="17" spans="1:18" ht="33.75" customHeight="1">
      <c r="A17" s="430"/>
      <c r="C17" s="451"/>
      <c r="D17" s="446">
        <v>3</v>
      </c>
      <c r="E17" s="197" t="str">
        <f>TP_P_V</f>
        <v>Количество заявлений о заключении договоров о подключении (технологическом присоединении)</v>
      </c>
      <c r="F17" s="446" t="s">
        <v>991</v>
      </c>
      <c r="G17" s="604"/>
      <c r="H17" s="604">
        <v>0</v>
      </c>
      <c r="I17" s="129"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row>
    <row r="18" spans="1:18" ht="22.5" customHeight="1">
      <c r="A18" s="430"/>
      <c r="C18" s="451"/>
      <c r="D18" s="446">
        <v>4</v>
      </c>
      <c r="E18" s="197" t="str">
        <f>TP_P_V_1</f>
        <v>Причины отказа в заключении договора о подключении (технологическом присоединении) к централизованной системе водоотведения</v>
      </c>
      <c r="F18" s="446" t="s">
        <v>274</v>
      </c>
      <c r="G18" s="605"/>
      <c r="H18" s="605"/>
      <c r="I18" s="756"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row>
    <row r="19" spans="1:18" ht="22.5" customHeight="1">
      <c r="A19" s="430"/>
      <c r="C19" s="451"/>
      <c r="D19" s="446">
        <v>5</v>
      </c>
      <c r="E19" s="197"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446" t="str">
        <f>IF(TEMPLATE_SPHERE="HEAT","Гкал/час","тыс. куб. м/сутки")</f>
        <v>тыс. куб. м/сутки</v>
      </c>
      <c r="G19" s="606">
        <f>SUM(G20:G22)</f>
        <v>0</v>
      </c>
      <c r="H19" s="606">
        <v>76.692999999999998</v>
      </c>
      <c r="I19" s="129"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row>
    <row r="20" spans="1:18" ht="15" hidden="1" customHeight="1">
      <c r="D20" s="434" t="s">
        <v>992</v>
      </c>
      <c r="E20" s="607"/>
      <c r="F20" s="434"/>
      <c r="G20" s="434"/>
      <c r="H20" s="434"/>
      <c r="I20" s="1675"/>
    </row>
    <row r="21" spans="1:18" ht="27.75" customHeight="1">
      <c r="C21" s="381"/>
      <c r="D21" s="463" t="s">
        <v>283</v>
      </c>
      <c r="E21" s="590"/>
      <c r="F21" s="1673" t="str">
        <f>IF(TEMPLATE_SPHERE="HEAT","Гкал/час","тыс. куб. м/сутки")</f>
        <v>тыс. куб. м/сутки</v>
      </c>
      <c r="G21" s="600"/>
      <c r="H21" s="600">
        <v>76.692999999999998</v>
      </c>
      <c r="I21" s="2063"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row>
    <row r="22" spans="1:18" ht="15" customHeight="1">
      <c r="A22" s="430"/>
      <c r="C22" s="430"/>
      <c r="D22" s="271"/>
      <c r="E22" s="504" t="s">
        <v>993</v>
      </c>
      <c r="F22" s="496"/>
      <c r="G22" s="496"/>
      <c r="H22" s="496"/>
      <c r="I22" s="2065"/>
      <c r="R22" s="430"/>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P31"/>
  <sheetViews>
    <sheetView showGridLines="0" topLeftCell="C4" zoomScale="90" workbookViewId="0"/>
  </sheetViews>
  <sheetFormatPr defaultColWidth="10.5703125" defaultRowHeight="14.25" customHeight="1"/>
  <cols>
    <col min="1" max="1" width="9.140625" style="1936" hidden="1" customWidth="1"/>
    <col min="2" max="2" width="9.140625" style="1934" hidden="1" customWidth="1"/>
    <col min="3" max="3" width="3.7109375" style="1937" customWidth="1"/>
    <col min="4" max="4" width="6.28515625" style="1825" customWidth="1"/>
    <col min="5" max="6" width="64.140625" style="1825" customWidth="1"/>
    <col min="7" max="7" width="141.140625" style="1825" customWidth="1"/>
    <col min="8" max="8" width="10.5703125" style="1825"/>
    <col min="9" max="10" width="10.5703125" style="1817"/>
    <col min="11" max="16" width="10.5703125" style="1825"/>
  </cols>
  <sheetData>
    <row r="1" spans="1:16" ht="14.25" hidden="1" customHeight="1">
      <c r="M1" s="173"/>
      <c r="N1" s="173"/>
      <c r="P1" s="173"/>
    </row>
    <row r="2" spans="1:16" ht="14.25" hidden="1" customHeight="1"/>
    <row r="3" spans="1:16" ht="14.25" hidden="1" customHeight="1"/>
    <row r="4" spans="1:16" ht="3" customHeight="1">
      <c r="C4" s="30"/>
      <c r="D4" s="18"/>
      <c r="E4" s="18"/>
      <c r="F4" s="19"/>
      <c r="G4" s="19"/>
    </row>
    <row r="5" spans="1:16" ht="27.75" customHeight="1">
      <c r="C5" s="30"/>
      <c r="D5" s="2067"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068"/>
      <c r="F5" s="2068"/>
      <c r="G5" s="2069"/>
    </row>
    <row r="6" spans="1:16" s="1814" customFormat="1" ht="18" customHeight="1">
      <c r="A6" s="796"/>
      <c r="B6" s="350"/>
      <c r="C6" s="304"/>
      <c r="D6" s="2121" t="str">
        <f>IF(org=0,"Не определено",org)</f>
        <v>ООО "Горводоканал"</v>
      </c>
      <c r="E6" s="2122"/>
      <c r="F6" s="2122"/>
      <c r="G6" s="2123"/>
      <c r="I6" s="425"/>
      <c r="J6" s="425"/>
    </row>
    <row r="7" spans="1:16" ht="14.25" customHeight="1">
      <c r="C7" s="30"/>
      <c r="D7" s="18"/>
      <c r="E7" s="29"/>
      <c r="F7" s="670"/>
      <c r="G7" s="114"/>
    </row>
    <row r="8" spans="1:16" s="1859" customFormat="1" ht="0.75" customHeight="1">
      <c r="A8" s="1582"/>
      <c r="B8" s="1062"/>
      <c r="C8" s="304"/>
      <c r="D8" s="289"/>
      <c r="E8" s="322"/>
      <c r="F8" s="670"/>
      <c r="G8" s="114"/>
      <c r="I8" s="1538"/>
      <c r="J8" s="1538"/>
    </row>
    <row r="9" spans="1:16" ht="14.25" customHeight="1">
      <c r="C9" s="30"/>
      <c r="D9" s="2107" t="s">
        <v>268</v>
      </c>
      <c r="E9" s="2107"/>
      <c r="F9" s="2107"/>
      <c r="G9" s="2291" t="s">
        <v>269</v>
      </c>
    </row>
    <row r="10" spans="1:16" ht="14.25" customHeight="1">
      <c r="C10" s="30"/>
      <c r="D10" s="36" t="s">
        <v>73</v>
      </c>
      <c r="E10" s="39" t="s">
        <v>270</v>
      </c>
      <c r="F10" s="39" t="s">
        <v>360</v>
      </c>
      <c r="G10" s="2291"/>
    </row>
    <row r="11" spans="1:16" ht="12" hidden="1" customHeight="1">
      <c r="C11" s="30"/>
      <c r="D11" s="21"/>
      <c r="E11" s="21"/>
      <c r="F11" s="21"/>
      <c r="G11" s="21"/>
    </row>
    <row r="12" spans="1:16" ht="62.25" customHeight="1">
      <c r="A12" s="113"/>
      <c r="C12" s="30"/>
      <c r="D12" s="71">
        <v>1</v>
      </c>
      <c r="E12" s="11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19" t="s">
        <v>274</v>
      </c>
      <c r="G12" s="75"/>
    </row>
    <row r="13" spans="1:16" ht="22.5" customHeight="1">
      <c r="A13" s="113"/>
      <c r="C13" s="30"/>
      <c r="D13" s="71" t="s">
        <v>898</v>
      </c>
      <c r="E13" s="11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19" t="s">
        <v>274</v>
      </c>
      <c r="G13" s="75"/>
    </row>
    <row r="14" spans="1:16" ht="14.25" customHeight="1">
      <c r="A14" s="113"/>
      <c r="C14" s="30"/>
      <c r="D14" s="71" t="s">
        <v>934</v>
      </c>
      <c r="E14" s="116"/>
      <c r="F14" s="134"/>
      <c r="G14" s="206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r="15" spans="1:16" ht="15" customHeight="1">
      <c r="A15" s="113"/>
      <c r="C15" s="30"/>
      <c r="D15" s="40"/>
      <c r="E15" s="273" t="s">
        <v>994</v>
      </c>
      <c r="F15" s="122"/>
      <c r="G15" s="2065"/>
    </row>
    <row r="16" spans="1:16" ht="14.25" customHeight="1">
      <c r="A16" s="113"/>
      <c r="C16" s="30"/>
      <c r="D16" s="71" t="s">
        <v>900</v>
      </c>
      <c r="E16" s="11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19" t="s">
        <v>274</v>
      </c>
      <c r="G16" s="262"/>
    </row>
    <row r="17" spans="1:16" ht="14.25" customHeight="1">
      <c r="A17" s="113"/>
      <c r="C17" s="30"/>
      <c r="D17" s="71" t="s">
        <v>942</v>
      </c>
      <c r="E17" s="116"/>
      <c r="F17" s="318"/>
      <c r="G17" s="206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row>
    <row r="18" spans="1:16" s="1933" customFormat="1" ht="21" customHeight="1">
      <c r="A18" s="267"/>
      <c r="B18" s="70"/>
      <c r="C18" s="225"/>
      <c r="D18" s="271"/>
      <c r="E18" s="273" t="s">
        <v>995</v>
      </c>
      <c r="F18" s="263"/>
      <c r="G18" s="2065"/>
      <c r="I18" s="274"/>
      <c r="J18" s="274"/>
    </row>
    <row r="19" spans="1:16" s="1814" customFormat="1" ht="256.5" hidden="1" customHeight="1">
      <c r="A19" s="267"/>
      <c r="B19" s="350"/>
      <c r="C19" s="304"/>
      <c r="D19" s="798" t="s">
        <v>902</v>
      </c>
      <c r="E19" s="797" t="s">
        <v>996</v>
      </c>
      <c r="F19" s="318"/>
      <c r="G19" s="262" t="s">
        <v>997</v>
      </c>
      <c r="I19" s="425"/>
      <c r="J19" s="425"/>
    </row>
    <row r="20" spans="1:16" s="1933" customFormat="1" ht="14.25" customHeight="1">
      <c r="A20" s="267"/>
      <c r="B20" s="70"/>
      <c r="C20" s="225"/>
      <c r="D20" s="799">
        <v>2</v>
      </c>
      <c r="E20" s="255" t="s">
        <v>998</v>
      </c>
      <c r="F20" s="119" t="s">
        <v>274</v>
      </c>
      <c r="G20" s="262"/>
      <c r="I20" s="274"/>
      <c r="J20" s="274"/>
    </row>
    <row r="21" spans="1:16" s="1933" customFormat="1" ht="18.75" hidden="1" customHeight="1">
      <c r="A21" s="267"/>
      <c r="B21" s="70"/>
      <c r="C21" s="225"/>
      <c r="D21" s="258" t="s">
        <v>828</v>
      </c>
      <c r="E21" s="257"/>
      <c r="F21" s="256"/>
      <c r="G21" s="266"/>
      <c r="H21" s="259"/>
      <c r="I21" s="274"/>
      <c r="J21" s="274"/>
    </row>
    <row r="22" spans="1:16" ht="15" customHeight="1">
      <c r="A22" s="113"/>
      <c r="C22" s="30"/>
      <c r="D22" s="40"/>
      <c r="E22" s="124" t="s">
        <v>999</v>
      </c>
      <c r="F22" s="263"/>
      <c r="G22" s="264"/>
    </row>
    <row r="23" spans="1:16" s="1859" customFormat="1" ht="22.5" hidden="1" customHeight="1">
      <c r="A23" s="267"/>
      <c r="B23" s="1062"/>
      <c r="C23" s="304"/>
      <c r="D23" s="1586" t="s">
        <v>92</v>
      </c>
      <c r="E23" s="118" t="s">
        <v>1000</v>
      </c>
      <c r="F23" s="1583" t="s">
        <v>274</v>
      </c>
      <c r="G23" s="269"/>
      <c r="I23" s="1538"/>
      <c r="J23" s="1538"/>
    </row>
    <row r="24" spans="1:16" s="1859" customFormat="1" ht="14.25" hidden="1" customHeight="1">
      <c r="A24" s="267"/>
      <c r="B24" s="1062"/>
      <c r="C24" s="304"/>
      <c r="D24" s="1586" t="s">
        <v>584</v>
      </c>
      <c r="E24" s="1585" t="s">
        <v>1001</v>
      </c>
      <c r="F24" s="1583" t="s">
        <v>274</v>
      </c>
      <c r="G24" s="262"/>
      <c r="I24" s="1538"/>
      <c r="J24" s="1538"/>
    </row>
    <row r="25" spans="1:16" s="1859" customFormat="1" ht="14.25" hidden="1" customHeight="1">
      <c r="A25" s="267"/>
      <c r="B25" s="1062"/>
      <c r="C25" s="304"/>
      <c r="D25" s="1586" t="s">
        <v>587</v>
      </c>
      <c r="E25" s="116"/>
      <c r="F25" s="318"/>
      <c r="G25" s="2063" t="s">
        <v>1002</v>
      </c>
      <c r="I25" s="1538"/>
      <c r="J25" s="1538"/>
    </row>
    <row r="26" spans="1:16" s="1859" customFormat="1" ht="22.5" hidden="1" customHeight="1">
      <c r="A26" s="267"/>
      <c r="B26" s="1062"/>
      <c r="C26" s="304"/>
      <c r="D26" s="271"/>
      <c r="E26" s="273" t="s">
        <v>1003</v>
      </c>
      <c r="F26" s="263"/>
      <c r="G26" s="2065"/>
      <c r="I26" s="1538"/>
      <c r="J26" s="1538"/>
    </row>
    <row r="27" spans="1:16" ht="3" customHeight="1"/>
    <row r="28" spans="1:16" ht="14.25" customHeight="1">
      <c r="D28" s="261"/>
      <c r="E28" s="260"/>
      <c r="F28" s="236"/>
      <c r="G28" s="236"/>
      <c r="H28" s="236"/>
      <c r="I28" s="236"/>
      <c r="J28" s="236"/>
      <c r="K28" s="236"/>
      <c r="L28" s="236"/>
      <c r="M28" s="236"/>
      <c r="N28" s="236"/>
      <c r="O28" s="236"/>
      <c r="P28" s="236"/>
    </row>
    <row r="29" spans="1:16" ht="14.25" customHeight="1">
      <c r="D29" s="261"/>
      <c r="E29" s="506"/>
    </row>
    <row r="31" spans="1:16" ht="14.25" customHeight="1">
      <c r="E31" s="676"/>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 right="0" top="0" bottom="0" header="0" footer="0.79"/>
  <pageSetup paperSize="9" scale="38" fitToHeight="0"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42"/>
  <sheetViews>
    <sheetView showGridLines="0" topLeftCell="C13" zoomScale="90" workbookViewId="0"/>
  </sheetViews>
  <sheetFormatPr defaultColWidth="10.5703125" defaultRowHeight="14.25" customHeight="1"/>
  <cols>
    <col min="1" max="1" width="9.140625" style="1884" hidden="1" customWidth="1"/>
    <col min="2" max="2" width="9.140625" style="1934" hidden="1" customWidth="1"/>
    <col min="3" max="3" width="3.7109375" style="1937" customWidth="1"/>
    <col min="4" max="4" width="6.28515625" style="1825" customWidth="1"/>
    <col min="5" max="5" width="63.42578125" style="1825" customWidth="1"/>
    <col min="6" max="6" width="1.7109375" style="1825" hidden="1" customWidth="1"/>
    <col min="7" max="8" width="35.7109375" style="1825" customWidth="1"/>
    <col min="9" max="9" width="91.5703125" style="1825" customWidth="1"/>
    <col min="10" max="10" width="68.85546875" style="1825" customWidth="1"/>
    <col min="11" max="12" width="10.5703125" style="1817"/>
  </cols>
  <sheetData>
    <row r="1" spans="1:12" ht="14.25" hidden="1" customHeight="1"/>
    <row r="2" spans="1:12" s="1859" customFormat="1" ht="18.75" hidden="1" customHeight="1">
      <c r="A2" s="1596"/>
      <c r="B2" s="1062"/>
      <c r="C2" s="1642" t="s">
        <v>1004</v>
      </c>
      <c r="D2" s="1586"/>
      <c r="E2" s="120"/>
      <c r="F2" s="1583"/>
      <c r="G2" s="1583" t="s">
        <v>274</v>
      </c>
      <c r="H2" s="1063"/>
      <c r="K2" s="1538"/>
      <c r="L2" s="1538"/>
    </row>
    <row r="3" spans="1:12" s="1859" customFormat="1" ht="14.25" hidden="1" customHeight="1">
      <c r="A3" s="1280"/>
      <c r="B3" s="1062"/>
      <c r="C3" s="268"/>
      <c r="K3" s="1538"/>
      <c r="L3" s="1538"/>
    </row>
    <row r="4" spans="1:12" s="1859" customFormat="1" ht="18.75" hidden="1" customHeight="1">
      <c r="A4" s="1596"/>
      <c r="B4" s="1062"/>
      <c r="C4" s="1642" t="s">
        <v>1004</v>
      </c>
      <c r="D4" s="1586"/>
      <c r="E4" s="126" t="s">
        <v>1005</v>
      </c>
      <c r="F4" s="1583"/>
      <c r="G4" s="175"/>
      <c r="H4" s="1583" t="s">
        <v>274</v>
      </c>
      <c r="K4" s="1538"/>
      <c r="L4" s="1538"/>
    </row>
    <row r="5" spans="1:12" s="1859" customFormat="1" ht="14.25" hidden="1" customHeight="1">
      <c r="A5" s="1280"/>
      <c r="B5" s="1062"/>
      <c r="C5" s="268"/>
      <c r="K5" s="1538"/>
      <c r="L5" s="1538"/>
    </row>
    <row r="6" spans="1:12" s="1859" customFormat="1" ht="18.75" hidden="1" customHeight="1">
      <c r="A6" s="1596"/>
      <c r="B6" s="1062"/>
      <c r="C6" s="1642" t="s">
        <v>1004</v>
      </c>
      <c r="D6" s="1586"/>
      <c r="E6" s="127" t="s">
        <v>1006</v>
      </c>
      <c r="F6" s="1583"/>
      <c r="G6" s="175"/>
      <c r="H6" s="1583" t="s">
        <v>274</v>
      </c>
      <c r="K6" s="1538"/>
      <c r="L6" s="1538"/>
    </row>
    <row r="7" spans="1:12" s="1859" customFormat="1" ht="14.25" hidden="1" customHeight="1">
      <c r="A7" s="1280"/>
      <c r="B7" s="1062"/>
      <c r="C7" s="268"/>
      <c r="K7" s="1538"/>
      <c r="L7" s="1538"/>
    </row>
    <row r="8" spans="1:12" s="1859" customFormat="1" ht="18.75" hidden="1" customHeight="1">
      <c r="A8" s="1596"/>
      <c r="B8" s="1062"/>
      <c r="C8" s="1642" t="s">
        <v>1004</v>
      </c>
      <c r="D8" s="1586"/>
      <c r="E8" s="127" t="s">
        <v>1007</v>
      </c>
      <c r="F8" s="1583"/>
      <c r="G8" s="175"/>
      <c r="H8" s="1583" t="s">
        <v>274</v>
      </c>
      <c r="K8" s="1538"/>
      <c r="L8" s="1538"/>
    </row>
    <row r="9" spans="1:12" s="1859" customFormat="1" ht="14.25" hidden="1" customHeight="1">
      <c r="A9" s="1280"/>
      <c r="B9" s="1062"/>
      <c r="C9" s="268"/>
      <c r="K9" s="1538"/>
      <c r="L9" s="1538"/>
    </row>
    <row r="10" spans="1:12" s="1859" customFormat="1" ht="18.75" hidden="1" customHeight="1">
      <c r="A10" s="1596"/>
      <c r="B10" s="1062"/>
      <c r="C10" s="1642" t="s">
        <v>1004</v>
      </c>
      <c r="D10" s="1586"/>
      <c r="E10" s="127" t="s">
        <v>1008</v>
      </c>
      <c r="F10" s="1583"/>
      <c r="G10" s="1587"/>
      <c r="H10" s="1583" t="s">
        <v>274</v>
      </c>
      <c r="K10" s="1538"/>
      <c r="L10" s="1538" t="s">
        <v>1009</v>
      </c>
    </row>
    <row r="11" spans="1:12" ht="14.25" hidden="1" customHeight="1"/>
    <row r="12" spans="1:12" ht="14.25" hidden="1" customHeight="1"/>
    <row r="13" spans="1:12" ht="14.25" customHeight="1">
      <c r="C13" s="30"/>
      <c r="D13" s="18"/>
      <c r="E13" s="18"/>
      <c r="F13" s="18"/>
      <c r="G13" s="18"/>
      <c r="H13" s="19"/>
      <c r="I13" s="19"/>
    </row>
    <row r="14" spans="1:12" ht="27.75" customHeight="1">
      <c r="C14" s="30"/>
      <c r="D14" s="2067"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068"/>
      <c r="F14" s="2068"/>
      <c r="G14" s="2068"/>
      <c r="H14" s="2069"/>
      <c r="J14" s="1545"/>
    </row>
    <row r="15" spans="1:12" s="1859" customFormat="1" ht="14.25" customHeight="1">
      <c r="A15" s="1280"/>
      <c r="B15" s="1062"/>
      <c r="C15" s="304"/>
      <c r="D15" s="2121" t="str">
        <f>IF(org=0,"Не определено",org)</f>
        <v>ООО "Горводоканал"</v>
      </c>
      <c r="E15" s="2122"/>
      <c r="F15" s="2122"/>
      <c r="G15" s="2122"/>
      <c r="H15" s="2123"/>
      <c r="J15" s="766"/>
      <c r="K15" s="1538"/>
      <c r="L15" s="1538"/>
    </row>
    <row r="16" spans="1:12" ht="14.25" customHeight="1">
      <c r="C16" s="30"/>
      <c r="D16" s="18"/>
      <c r="E16" s="29"/>
      <c r="F16" s="29"/>
      <c r="G16" s="29"/>
      <c r="H16" s="670"/>
      <c r="I16" s="114"/>
    </row>
    <row r="17" spans="1:12" s="1859" customFormat="1" ht="14.25" hidden="1" customHeight="1">
      <c r="A17" s="1280"/>
      <c r="B17" s="1062"/>
      <c r="C17" s="304"/>
      <c r="D17" s="289"/>
      <c r="E17" s="322"/>
      <c r="F17" s="322"/>
      <c r="G17" s="322"/>
      <c r="H17" s="670"/>
      <c r="I17" s="114"/>
      <c r="K17" s="1538"/>
      <c r="L17" s="1538"/>
    </row>
    <row r="18" spans="1:12" ht="21" customHeight="1">
      <c r="C18" s="30"/>
      <c r="D18" s="2107" t="s">
        <v>268</v>
      </c>
      <c r="E18" s="2107"/>
      <c r="F18" s="2107"/>
      <c r="G18" s="2107"/>
      <c r="H18" s="2107"/>
      <c r="I18" s="2291" t="s">
        <v>269</v>
      </c>
    </row>
    <row r="19" spans="1:12" ht="21" customHeight="1">
      <c r="C19" s="30"/>
      <c r="D19" s="36" t="s">
        <v>73</v>
      </c>
      <c r="E19" s="39" t="s">
        <v>270</v>
      </c>
      <c r="F19" s="39"/>
      <c r="G19" s="39" t="s">
        <v>271</v>
      </c>
      <c r="H19" s="39" t="s">
        <v>360</v>
      </c>
      <c r="I19" s="2291"/>
    </row>
    <row r="20" spans="1:12" ht="12" hidden="1" customHeight="1">
      <c r="C20" s="30"/>
      <c r="D20" s="21"/>
      <c r="E20" s="21"/>
      <c r="F20" s="21"/>
      <c r="G20" s="21"/>
      <c r="H20" s="21"/>
      <c r="I20" s="21"/>
    </row>
    <row r="21" spans="1:12" ht="14.25" customHeight="1">
      <c r="A21" s="1596"/>
      <c r="C21" s="30"/>
      <c r="D21" s="71">
        <v>1</v>
      </c>
      <c r="E21" s="2292" t="s">
        <v>1010</v>
      </c>
      <c r="F21" s="2292"/>
      <c r="G21" s="2292"/>
      <c r="H21" s="2292"/>
      <c r="I21" s="129"/>
    </row>
    <row r="22" spans="1:12" ht="20.25" customHeight="1">
      <c r="A22" s="1596"/>
      <c r="C22" s="30"/>
      <c r="D22" s="71" t="s">
        <v>898</v>
      </c>
      <c r="E22" s="115" t="s">
        <v>1011</v>
      </c>
      <c r="F22" s="119"/>
      <c r="G22" s="1649"/>
      <c r="H22" s="119" t="s">
        <v>274</v>
      </c>
      <c r="I22" s="75" t="s">
        <v>1012</v>
      </c>
    </row>
    <row r="23" spans="1:12" ht="45" customHeight="1">
      <c r="A23" s="1596"/>
      <c r="C23" s="30"/>
      <c r="D23" s="71" t="s">
        <v>900</v>
      </c>
      <c r="E23" s="115" t="s">
        <v>1013</v>
      </c>
      <c r="F23" s="119"/>
      <c r="G23" s="175"/>
      <c r="H23" s="134"/>
      <c r="I23" s="176" t="s">
        <v>1014</v>
      </c>
    </row>
    <row r="24" spans="1:12" ht="14.25" customHeight="1">
      <c r="A24" s="1596"/>
      <c r="B24" s="70">
        <v>3</v>
      </c>
      <c r="C24" s="30"/>
      <c r="D24" s="71">
        <v>2</v>
      </c>
      <c r="E24" s="14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19"/>
      <c r="G24" s="119" t="s">
        <v>274</v>
      </c>
      <c r="H24" s="134"/>
      <c r="I24" s="177" t="s">
        <v>765</v>
      </c>
    </row>
    <row r="25" spans="1:12" ht="46.5" customHeight="1">
      <c r="A25" s="1596"/>
      <c r="C25" s="30"/>
      <c r="D25" s="71">
        <v>3</v>
      </c>
      <c r="E25" s="229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292"/>
      <c r="G25" s="2292"/>
      <c r="H25" s="2292"/>
      <c r="I25" s="174"/>
    </row>
    <row r="26" spans="1:12" ht="14.25" customHeight="1">
      <c r="A26" s="1596"/>
      <c r="C26" s="30"/>
      <c r="D26" s="71" t="s">
        <v>294</v>
      </c>
      <c r="E26" s="120"/>
      <c r="F26" s="119"/>
      <c r="G26" s="119" t="s">
        <v>274</v>
      </c>
      <c r="H26" s="134"/>
      <c r="I26" s="2063" t="s">
        <v>1015</v>
      </c>
    </row>
    <row r="27" spans="1:12" ht="15" customHeight="1">
      <c r="A27" s="1596" t="s">
        <v>91</v>
      </c>
      <c r="C27" s="30"/>
      <c r="D27" s="40"/>
      <c r="E27" s="124" t="s">
        <v>999</v>
      </c>
      <c r="F27" s="125"/>
      <c r="G27" s="125"/>
      <c r="H27" s="122"/>
      <c r="I27" s="2065"/>
    </row>
    <row r="28" spans="1:12" ht="38.25" customHeight="1">
      <c r="A28" s="1596"/>
      <c r="B28" s="70">
        <v>3</v>
      </c>
      <c r="C28" s="30"/>
      <c r="D28" s="71">
        <v>4</v>
      </c>
      <c r="E28" s="229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292"/>
      <c r="G28" s="2292"/>
      <c r="H28" s="2292"/>
      <c r="I28" s="174"/>
    </row>
    <row r="29" spans="1:12" ht="20.25" customHeight="1">
      <c r="A29" s="1596"/>
      <c r="C29" s="30"/>
      <c r="D29" s="71" t="s">
        <v>629</v>
      </c>
      <c r="E29" s="126" t="s">
        <v>1005</v>
      </c>
      <c r="F29" s="119"/>
      <c r="G29" s="175"/>
      <c r="H29" s="119" t="s">
        <v>274</v>
      </c>
      <c r="I29" s="2063" t="s">
        <v>1016</v>
      </c>
    </row>
    <row r="30" spans="1:12" ht="15" customHeight="1">
      <c r="A30" s="1596" t="s">
        <v>92</v>
      </c>
      <c r="C30" s="30"/>
      <c r="D30" s="40"/>
      <c r="E30" s="124" t="s">
        <v>999</v>
      </c>
      <c r="F30" s="125"/>
      <c r="G30" s="125"/>
      <c r="H30" s="122"/>
      <c r="I30" s="2065"/>
    </row>
    <row r="31" spans="1:12" ht="30" customHeight="1">
      <c r="A31" s="1596"/>
      <c r="B31" s="70">
        <v>3</v>
      </c>
      <c r="C31" s="30"/>
      <c r="D31" s="71">
        <v>5</v>
      </c>
      <c r="E31" s="229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292"/>
      <c r="G31" s="2292"/>
      <c r="H31" s="2292"/>
      <c r="I31" s="174"/>
    </row>
    <row r="32" spans="1:12" ht="26.25" customHeight="1">
      <c r="A32" s="1596"/>
      <c r="C32" s="30"/>
      <c r="D32" s="71" t="s">
        <v>283</v>
      </c>
      <c r="E32" s="225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251"/>
      <c r="G32" s="2251"/>
      <c r="H32" s="2251"/>
      <c r="I32" s="174"/>
    </row>
    <row r="33" spans="1:12" ht="14.25" customHeight="1">
      <c r="A33" s="1596"/>
      <c r="C33" s="30"/>
      <c r="D33" s="71" t="s">
        <v>1017</v>
      </c>
      <c r="E33" s="127" t="s">
        <v>1006</v>
      </c>
      <c r="F33" s="119"/>
      <c r="G33" s="175"/>
      <c r="H33" s="119" t="s">
        <v>274</v>
      </c>
      <c r="I33" s="2063" t="s">
        <v>1018</v>
      </c>
    </row>
    <row r="34" spans="1:12" ht="15" customHeight="1">
      <c r="A34" s="1596" t="s">
        <v>75</v>
      </c>
      <c r="C34" s="30"/>
      <c r="D34" s="40"/>
      <c r="E34" s="125" t="s">
        <v>999</v>
      </c>
      <c r="F34" s="121"/>
      <c r="G34" s="121"/>
      <c r="H34" s="122"/>
      <c r="I34" s="2065"/>
    </row>
    <row r="35" spans="1:12" ht="24" customHeight="1">
      <c r="A35" s="1596"/>
      <c r="C35" s="30"/>
      <c r="D35" s="71" t="s">
        <v>285</v>
      </c>
      <c r="E35" s="225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251"/>
      <c r="G35" s="2251"/>
      <c r="H35" s="2251"/>
      <c r="I35" s="174"/>
    </row>
    <row r="36" spans="1:12" ht="14.25" customHeight="1">
      <c r="A36" s="1596"/>
      <c r="C36" s="30"/>
      <c r="D36" s="71" t="s">
        <v>1019</v>
      </c>
      <c r="E36" s="127" t="s">
        <v>1007</v>
      </c>
      <c r="F36" s="119"/>
      <c r="G36" s="175"/>
      <c r="H36" s="119" t="s">
        <v>274</v>
      </c>
      <c r="I36" s="2041" t="s">
        <v>1020</v>
      </c>
    </row>
    <row r="37" spans="1:12" ht="15" customHeight="1">
      <c r="A37" s="1596" t="s">
        <v>76</v>
      </c>
      <c r="C37" s="30"/>
      <c r="D37" s="40"/>
      <c r="E37" s="125" t="s">
        <v>999</v>
      </c>
      <c r="F37" s="121"/>
      <c r="G37" s="121"/>
      <c r="H37" s="122"/>
      <c r="I37" s="2041"/>
    </row>
    <row r="38" spans="1:12" ht="26.25" customHeight="1">
      <c r="A38" s="1596"/>
      <c r="C38" s="30"/>
      <c r="D38" s="71" t="s">
        <v>288</v>
      </c>
      <c r="E38" s="225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251"/>
      <c r="G38" s="2251"/>
      <c r="H38" s="2251"/>
      <c r="I38" s="174"/>
    </row>
    <row r="39" spans="1:12" ht="14.25" customHeight="1">
      <c r="A39" s="1596"/>
      <c r="C39" s="30"/>
      <c r="D39" s="71" t="s">
        <v>758</v>
      </c>
      <c r="E39" s="127" t="s">
        <v>1008</v>
      </c>
      <c r="F39" s="119"/>
      <c r="G39" s="128"/>
      <c r="H39" s="119" t="s">
        <v>274</v>
      </c>
      <c r="I39" s="2063" t="s">
        <v>1021</v>
      </c>
      <c r="L39" s="77" t="s">
        <v>1009</v>
      </c>
    </row>
    <row r="40" spans="1:12" ht="15" customHeight="1">
      <c r="A40" s="1596" t="s">
        <v>93</v>
      </c>
      <c r="C40" s="30"/>
      <c r="D40" s="40"/>
      <c r="E40" s="125" t="s">
        <v>999</v>
      </c>
      <c r="F40" s="121"/>
      <c r="G40" s="121"/>
      <c r="H40" s="122"/>
      <c r="I40" s="2065"/>
    </row>
    <row r="41" spans="1:12" s="1938" customFormat="1" ht="3" customHeight="1">
      <c r="A41" s="1596"/>
      <c r="K41" s="117"/>
      <c r="L41" s="117"/>
    </row>
    <row r="42" spans="1:12" ht="24.75" customHeight="1">
      <c r="D42" s="1594" t="s">
        <v>680</v>
      </c>
      <c r="E42" s="214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145"/>
      <c r="G42" s="2145"/>
      <c r="H42" s="2145"/>
      <c r="I42" s="2145"/>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G316"/>
  <sheetViews>
    <sheetView showGridLines="0" topLeftCell="D13" zoomScale="90" workbookViewId="0"/>
  </sheetViews>
  <sheetFormatPr defaultColWidth="10.5703125" defaultRowHeight="14.25" customHeight="1"/>
  <cols>
    <col min="1" max="2" width="25.140625" style="1939" hidden="1" customWidth="1"/>
    <col min="3" max="3" width="9.140625" style="1910" hidden="1" customWidth="1"/>
    <col min="4" max="4" width="3.7109375" style="1890" customWidth="1"/>
    <col min="5" max="5" width="6.28515625" style="1940" customWidth="1"/>
    <col min="6" max="6" width="46.7109375" style="1940" customWidth="1"/>
    <col min="7" max="7" width="35.7109375" style="1940" customWidth="1"/>
    <col min="8" max="8" width="3.7109375" style="1940" customWidth="1"/>
    <col min="9" max="10" width="11.7109375" style="1940" customWidth="1"/>
    <col min="11" max="12" width="35.7109375" style="1940" customWidth="1"/>
    <col min="13" max="13" width="84.85546875" style="1940" customWidth="1"/>
    <col min="14" max="14" width="10.5703125" style="1940"/>
    <col min="15" max="16" width="10.5703125" style="1935"/>
    <col min="17" max="33" width="10.5703125" style="1940"/>
  </cols>
  <sheetData>
    <row r="1" spans="1:33" s="1859" customFormat="1" ht="14.25" hidden="1" customHeight="1">
      <c r="A1" s="1691"/>
      <c r="B1" s="1691"/>
      <c r="C1" s="296"/>
      <c r="D1" s="268"/>
      <c r="N1" s="1550">
        <f>IFERROR(MATCH("метод экономически обоснованных расходов (затрат)",OFFER_METHOD,0),0)</f>
        <v>0</v>
      </c>
      <c r="O1" s="1538"/>
      <c r="P1" s="1538"/>
      <c r="T1" s="749"/>
      <c r="AG1" s="173"/>
    </row>
    <row r="2" spans="1:33" s="1859" customFormat="1" ht="18.75" hidden="1" customHeight="1">
      <c r="A2" s="1692" t="s">
        <v>137</v>
      </c>
      <c r="B2" s="1692" t="s">
        <v>138</v>
      </c>
      <c r="C2" s="296"/>
      <c r="D2" s="268"/>
      <c r="E2" s="940"/>
      <c r="F2" s="940"/>
      <c r="G2" s="2265" t="str">
        <f>INDEX(PT_DIFFERENTIATION_NTAR,MATCH(B2,PT_DIFFERENTIATION_NTAR_ID,0))</f>
        <v/>
      </c>
      <c r="H2" s="1776"/>
      <c r="I2" s="1651"/>
      <c r="J2" s="1685"/>
      <c r="K2" s="1777"/>
      <c r="L2" s="1776" t="s">
        <v>274</v>
      </c>
      <c r="M2" s="1786"/>
      <c r="N2" s="259"/>
      <c r="O2" s="1538"/>
      <c r="P2" s="1538"/>
    </row>
    <row r="3" spans="1:33" s="1859" customFormat="1" ht="18.75" hidden="1" customHeight="1">
      <c r="A3" s="1692"/>
      <c r="B3" s="1692"/>
      <c r="C3" s="296" t="s">
        <v>1022</v>
      </c>
      <c r="D3" s="268"/>
      <c r="E3" s="940"/>
      <c r="F3" s="940"/>
      <c r="G3" s="2265"/>
      <c r="H3" s="1412"/>
      <c r="I3" s="571" t="s">
        <v>1023</v>
      </c>
      <c r="J3" s="495"/>
      <c r="K3" s="1412"/>
      <c r="L3" s="135"/>
      <c r="M3" s="1786"/>
      <c r="N3" s="259"/>
      <c r="O3" s="1538"/>
      <c r="P3" s="1538"/>
    </row>
    <row r="4" spans="1:33" s="1859" customFormat="1" ht="14.25" hidden="1" customHeight="1">
      <c r="A4" s="1691"/>
      <c r="B4" s="1691"/>
      <c r="C4" s="296"/>
      <c r="D4" s="268"/>
      <c r="N4" s="1550">
        <f>IFERROR(MATCH("метод экономически обоснованных расходов (затрат)",OFFER_METHOD,0),0)</f>
        <v>0</v>
      </c>
      <c r="O4" s="1538"/>
      <c r="P4" s="1538"/>
      <c r="T4" s="749"/>
      <c r="AG4" s="173"/>
    </row>
    <row r="5" spans="1:33" s="1859" customFormat="1" ht="18.75" hidden="1" customHeight="1">
      <c r="A5" s="1692" t="s">
        <v>137</v>
      </c>
      <c r="B5" s="1692" t="s">
        <v>138</v>
      </c>
      <c r="C5" s="296"/>
      <c r="D5" s="268"/>
      <c r="E5" s="940"/>
      <c r="F5" s="940"/>
      <c r="G5" s="2265" t="str">
        <f>INDEX(PT_DIFFERENTIATION_NTAR,MATCH(B5,PT_DIFFERENTIATION_NTAR_ID,0))</f>
        <v/>
      </c>
      <c r="H5" s="1776"/>
      <c r="I5" s="1651"/>
      <c r="J5" s="1685"/>
      <c r="K5" s="1690"/>
      <c r="L5" s="1776" t="s">
        <v>274</v>
      </c>
      <c r="M5" s="1786"/>
      <c r="N5" s="259"/>
      <c r="O5" s="1538"/>
      <c r="P5" s="1538"/>
    </row>
    <row r="6" spans="1:33" s="1859" customFormat="1" ht="18.75" hidden="1" customHeight="1">
      <c r="A6" s="1692"/>
      <c r="B6" s="1692"/>
      <c r="C6" s="296" t="s">
        <v>1024</v>
      </c>
      <c r="D6" s="268"/>
      <c r="E6" s="940"/>
      <c r="F6" s="940"/>
      <c r="G6" s="2265"/>
      <c r="H6" s="1412"/>
      <c r="I6" s="571" t="s">
        <v>1023</v>
      </c>
      <c r="J6" s="495"/>
      <c r="K6" s="1412"/>
      <c r="L6" s="135"/>
      <c r="M6" s="1786"/>
      <c r="N6" s="259"/>
      <c r="O6" s="1538"/>
      <c r="P6" s="1538"/>
    </row>
    <row r="7" spans="1:33" s="1859" customFormat="1" ht="14.25" hidden="1" customHeight="1">
      <c r="A7" s="1691"/>
      <c r="B7" s="1691"/>
      <c r="C7" s="296"/>
      <c r="D7" s="268"/>
      <c r="N7" s="1550">
        <f>IFERROR(MATCH("метод экономически обоснованных расходов (затрат)",OFFER_METHOD,0),0)</f>
        <v>0</v>
      </c>
      <c r="O7" s="1538"/>
      <c r="P7" s="1538"/>
      <c r="T7" s="749"/>
      <c r="AG7" s="173"/>
    </row>
    <row r="8" spans="1:33" s="1859" customFormat="1" ht="56.25" hidden="1" customHeight="1">
      <c r="A8" s="1692"/>
      <c r="B8" s="1692"/>
      <c r="C8" s="296"/>
      <c r="D8" s="268"/>
      <c r="E8" s="940"/>
      <c r="F8" s="940"/>
      <c r="G8" s="940"/>
      <c r="H8" s="1683"/>
      <c r="I8" s="1651"/>
      <c r="J8" s="1685"/>
      <c r="K8" s="1777"/>
      <c r="L8" s="1683" t="s">
        <v>274</v>
      </c>
      <c r="M8" s="1786"/>
      <c r="N8" s="259"/>
      <c r="O8" s="1538"/>
      <c r="P8" s="1538"/>
    </row>
    <row r="9" spans="1:33" ht="14.25" hidden="1" customHeight="1">
      <c r="T9" s="330"/>
      <c r="AG9" s="173"/>
    </row>
    <row r="10" spans="1:33" s="1859" customFormat="1" ht="56.25" hidden="1" customHeight="1">
      <c r="A10" s="1692"/>
      <c r="B10" s="1692"/>
      <c r="C10" s="296"/>
      <c r="D10" s="268"/>
      <c r="E10" s="940"/>
      <c r="F10" s="940"/>
      <c r="G10" s="940"/>
      <c r="H10" s="1682"/>
      <c r="I10" s="1651"/>
      <c r="J10" s="1685"/>
      <c r="K10" s="1690"/>
      <c r="L10" s="1683" t="s">
        <v>274</v>
      </c>
      <c r="M10" s="1786"/>
      <c r="N10" s="259"/>
      <c r="O10" s="1538"/>
      <c r="P10" s="1538"/>
    </row>
    <row r="11" spans="1:33" ht="14.25" hidden="1" customHeight="1"/>
    <row r="12" spans="1:33" ht="14.25" hidden="1" customHeight="1"/>
    <row r="13" spans="1:33" ht="6" customHeight="1">
      <c r="D13" s="304"/>
      <c r="E13" s="289"/>
      <c r="F13" s="289"/>
      <c r="G13" s="289"/>
      <c r="H13" s="289"/>
      <c r="I13" s="289"/>
      <c r="J13" s="289"/>
      <c r="K13" s="289"/>
      <c r="L13" s="19"/>
      <c r="M13" s="19"/>
    </row>
    <row r="14" spans="1:33" ht="14.25" customHeight="1">
      <c r="D14" s="304"/>
      <c r="E14" s="2293"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293"/>
      <c r="G14" s="2293"/>
      <c r="H14" s="2293"/>
      <c r="I14" s="2293"/>
      <c r="J14" s="2293"/>
      <c r="K14" s="2293"/>
      <c r="L14" s="2293"/>
      <c r="M14" s="140"/>
    </row>
    <row r="15" spans="1:33" ht="6" customHeight="1">
      <c r="D15" s="304"/>
      <c r="E15" s="289"/>
      <c r="F15" s="322"/>
      <c r="G15" s="322"/>
      <c r="H15" s="322"/>
      <c r="I15" s="322"/>
      <c r="J15" s="322"/>
      <c r="K15" s="322"/>
      <c r="L15" s="245"/>
      <c r="M15" s="114"/>
    </row>
    <row r="16" spans="1:33" ht="18.75" customHeight="1">
      <c r="D16" s="304"/>
      <c r="E16" s="289"/>
      <c r="F16" s="223" t="str">
        <f>"Дата подачи заявления об "&amp;IF(TITLE_DATE_PR_CHANGE="","утверждении","изменении")&amp;" тарифов"</f>
        <v>Дата подачи заявления об утверждении тарифов</v>
      </c>
      <c r="G16" s="2138" t="str">
        <f>IF(TITLE_DATE_PR_CHANGE="",IF(TITLE_DATE_PR="","",TITLE_DATE_PR),TITLE_DATE_PR_CHANGE)</f>
        <v/>
      </c>
      <c r="H16" s="2138"/>
      <c r="I16" s="2138"/>
      <c r="J16" s="2138"/>
      <c r="K16" s="2138"/>
      <c r="L16" s="2138"/>
      <c r="M16" s="331"/>
      <c r="N16" s="251"/>
    </row>
    <row r="17" spans="1:16" ht="18.75" customHeight="1">
      <c r="D17" s="304"/>
      <c r="E17" s="289"/>
      <c r="F17" s="223" t="str">
        <f>"Номер подачи заявления об "&amp;IF(TITLE_DATE_PR_CHANGE="","утверждении","изменении")&amp;" тарифов"</f>
        <v>Номер подачи заявления об утверждении тарифов</v>
      </c>
      <c r="G17" s="2139" t="str">
        <f>IF(TITLE_NUMBER_PR_CHANGE="",IF(TITLE_NUMBER_PR="","",TITLE_NUMBER_PR),TITLE_NUMBER_PR_CHANGE)</f>
        <v/>
      </c>
      <c r="H17" s="2139"/>
      <c r="I17" s="2139"/>
      <c r="J17" s="2139"/>
      <c r="K17" s="2139"/>
      <c r="L17" s="2139"/>
      <c r="M17" s="331"/>
      <c r="N17" s="251"/>
    </row>
    <row r="18" spans="1:16" ht="14.25" customHeight="1">
      <c r="D18" s="304"/>
      <c r="E18" s="289"/>
      <c r="F18" s="322"/>
      <c r="G18" s="322"/>
      <c r="H18" s="322"/>
      <c r="I18" s="322"/>
      <c r="J18" s="322"/>
      <c r="K18" s="322"/>
      <c r="L18" s="670"/>
      <c r="M18" s="114"/>
    </row>
    <row r="19" spans="1:16" ht="21" customHeight="1">
      <c r="D19" s="304"/>
      <c r="E19" s="2107" t="s">
        <v>268</v>
      </c>
      <c r="F19" s="2107"/>
      <c r="G19" s="2107"/>
      <c r="H19" s="2107"/>
      <c r="I19" s="2107"/>
      <c r="J19" s="2107"/>
      <c r="K19" s="2107"/>
      <c r="L19" s="2107"/>
      <c r="M19" s="2291" t="s">
        <v>269</v>
      </c>
    </row>
    <row r="20" spans="1:16" ht="21" customHeight="1">
      <c r="D20" s="304"/>
      <c r="E20" s="2163" t="s">
        <v>73</v>
      </c>
      <c r="F20" s="2113" t="s">
        <v>104</v>
      </c>
      <c r="G20" s="2113" t="s">
        <v>105</v>
      </c>
      <c r="H20" s="2267" t="s">
        <v>1025</v>
      </c>
      <c r="I20" s="2271"/>
      <c r="J20" s="2268"/>
      <c r="K20" s="2113" t="s">
        <v>271</v>
      </c>
      <c r="L20" s="2113" t="s">
        <v>360</v>
      </c>
      <c r="M20" s="2291"/>
    </row>
    <row r="21" spans="1:16" ht="21" customHeight="1">
      <c r="D21" s="304"/>
      <c r="E21" s="2165"/>
      <c r="F21" s="2114"/>
      <c r="G21" s="2114"/>
      <c r="H21" s="2112" t="s">
        <v>1026</v>
      </c>
      <c r="I21" s="2126"/>
      <c r="J21" s="39" t="s">
        <v>1027</v>
      </c>
      <c r="K21" s="2114"/>
      <c r="L21" s="2114"/>
      <c r="M21" s="2291"/>
    </row>
    <row r="22" spans="1:16" ht="12" customHeight="1">
      <c r="D22" s="304"/>
      <c r="E22" s="199"/>
      <c r="F22" s="199"/>
      <c r="G22" s="199"/>
      <c r="H22" s="2295"/>
      <c r="I22" s="2295"/>
      <c r="J22" s="199"/>
      <c r="K22" s="199"/>
      <c r="L22" s="199"/>
      <c r="M22" s="199"/>
    </row>
    <row r="23" spans="1:16" ht="18.75" customHeight="1">
      <c r="A23" s="1692"/>
      <c r="B23" s="1692"/>
      <c r="D23" s="304"/>
      <c r="E23" s="1778" t="s">
        <v>91</v>
      </c>
      <c r="F23" s="2296" t="str">
        <f>"Предлагаемый метод регулирования"&amp;IF(TEMPLATE_SPHERE="HEAT"," в сфере "&amp;TEMPLATE_SPHERE_RUS,"")</f>
        <v>Предлагаемый метод регулирования</v>
      </c>
      <c r="G23" s="2296"/>
      <c r="H23" s="2292"/>
      <c r="I23" s="2292"/>
      <c r="J23" s="2292"/>
      <c r="K23" s="2296" t="s">
        <v>274</v>
      </c>
      <c r="L23" s="2292"/>
      <c r="M23" s="1681"/>
      <c r="N23" s="259"/>
    </row>
    <row r="24" spans="1:16" ht="60.75" hidden="1" customHeight="1">
      <c r="A24" s="1692" t="s">
        <v>137</v>
      </c>
      <c r="B24" s="1692" t="s">
        <v>138</v>
      </c>
      <c r="D24" s="2294"/>
      <c r="E24" s="2101"/>
      <c r="F24" s="229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265" t="str">
        <f>INDEX(PT_DIFFERENTIATION_NTAR,MATCH(B24,PT_DIFFERENTIATION_NTAR_ID,0))</f>
        <v/>
      </c>
      <c r="H24" s="1774"/>
      <c r="I24" s="1651"/>
      <c r="J24" s="1685"/>
      <c r="K24" s="1777"/>
      <c r="L24" s="1680" t="s">
        <v>274</v>
      </c>
      <c r="M24" s="206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59"/>
    </row>
    <row r="25" spans="1:16" s="1859" customFormat="1" ht="18.75" hidden="1" customHeight="1">
      <c r="A25" s="1692"/>
      <c r="B25" s="1692"/>
      <c r="C25" s="296" t="s">
        <v>1022</v>
      </c>
      <c r="D25" s="2294"/>
      <c r="E25" s="2101"/>
      <c r="F25" s="2297"/>
      <c r="G25" s="2265"/>
      <c r="H25" s="1412"/>
      <c r="I25" s="571" t="s">
        <v>1023</v>
      </c>
      <c r="J25" s="495"/>
      <c r="K25" s="1412"/>
      <c r="L25" s="135"/>
      <c r="M25" s="2064"/>
      <c r="N25" s="259"/>
      <c r="O25" s="1538"/>
      <c r="P25" s="1538"/>
    </row>
    <row r="26" spans="1:16" ht="0.75" hidden="1" customHeight="1">
      <c r="A26" s="1692"/>
      <c r="B26" s="1692"/>
      <c r="C26" s="296" t="s">
        <v>1028</v>
      </c>
      <c r="D26" s="2294"/>
      <c r="E26" s="2101"/>
      <c r="F26" s="2231"/>
      <c r="G26" s="333"/>
      <c r="H26" s="1412"/>
      <c r="I26" s="328"/>
      <c r="J26" s="273"/>
      <c r="K26" s="1412"/>
      <c r="L26" s="122"/>
      <c r="M26" s="2064"/>
      <c r="N26" s="259"/>
    </row>
    <row r="27" spans="1:16" s="1859" customFormat="1" ht="45" hidden="1" customHeight="1">
      <c r="A27" s="1692" t="s">
        <v>143</v>
      </c>
      <c r="B27" s="1692" t="s">
        <v>144</v>
      </c>
      <c r="C27" s="296"/>
      <c r="D27" s="2298"/>
      <c r="E27" s="2299"/>
      <c r="F27" s="2300"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265" t="str">
        <f>INDEX(PT_DIFFERENTIATION_NTAR,MATCH(B27,PT_DIFFERENTIATION_NTAR_ID,0))</f>
        <v/>
      </c>
      <c r="H27" s="1774"/>
      <c r="I27" s="1651"/>
      <c r="J27" s="1685"/>
      <c r="K27" s="1777"/>
      <c r="L27" s="1774" t="s">
        <v>274</v>
      </c>
      <c r="M27" s="2064"/>
      <c r="N27" s="259"/>
      <c r="O27" s="1538"/>
      <c r="P27" s="1538"/>
    </row>
    <row r="28" spans="1:16" s="1859" customFormat="1" ht="18.75" hidden="1" customHeight="1">
      <c r="A28" s="1692"/>
      <c r="B28" s="1692"/>
      <c r="C28" s="296" t="s">
        <v>1022</v>
      </c>
      <c r="D28" s="2298"/>
      <c r="E28" s="2299"/>
      <c r="F28" s="2300"/>
      <c r="G28" s="2265"/>
      <c r="H28" s="1412"/>
      <c r="I28" s="571" t="s">
        <v>1023</v>
      </c>
      <c r="J28" s="495"/>
      <c r="K28" s="1412"/>
      <c r="L28" s="135"/>
      <c r="M28" s="2064"/>
      <c r="N28" s="259"/>
      <c r="O28" s="1538"/>
      <c r="P28" s="1538"/>
    </row>
    <row r="29" spans="1:16" s="1859" customFormat="1" ht="0.75" hidden="1" customHeight="1">
      <c r="A29" s="1692"/>
      <c r="B29" s="1692"/>
      <c r="C29" s="296" t="s">
        <v>1028</v>
      </c>
      <c r="D29" s="2298"/>
      <c r="E29" s="2101"/>
      <c r="F29" s="2231"/>
      <c r="G29" s="333"/>
      <c r="H29" s="1412"/>
      <c r="I29" s="571"/>
      <c r="J29" s="495"/>
      <c r="K29" s="1412"/>
      <c r="L29" s="135"/>
      <c r="M29" s="2064"/>
      <c r="N29" s="259"/>
      <c r="O29" s="1538"/>
      <c r="P29" s="1538"/>
    </row>
    <row r="30" spans="1:16" s="1859" customFormat="1" ht="45" hidden="1" customHeight="1">
      <c r="A30" s="1692" t="s">
        <v>149</v>
      </c>
      <c r="B30" s="1692" t="s">
        <v>150</v>
      </c>
      <c r="C30" s="296"/>
      <c r="D30" s="2298"/>
      <c r="E30" s="2101"/>
      <c r="F30" s="223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265" t="str">
        <f>INDEX(PT_DIFFERENTIATION_NTAR,MATCH(B30,PT_DIFFERENTIATION_NTAR_ID,0))</f>
        <v/>
      </c>
      <c r="H30" s="1774"/>
      <c r="I30" s="1651"/>
      <c r="J30" s="1685"/>
      <c r="K30" s="1777"/>
      <c r="L30" s="1774" t="s">
        <v>274</v>
      </c>
      <c r="M30" s="2064"/>
      <c r="N30" s="259"/>
      <c r="O30" s="1538"/>
      <c r="P30" s="1538"/>
    </row>
    <row r="31" spans="1:16" s="1859" customFormat="1" ht="18.75" hidden="1" customHeight="1">
      <c r="A31" s="1692"/>
      <c r="B31" s="1692"/>
      <c r="C31" s="296" t="s">
        <v>1022</v>
      </c>
      <c r="D31" s="2298"/>
      <c r="E31" s="2101"/>
      <c r="F31" s="2231"/>
      <c r="G31" s="2265"/>
      <c r="H31" s="1412"/>
      <c r="I31" s="571" t="s">
        <v>1023</v>
      </c>
      <c r="J31" s="495"/>
      <c r="K31" s="1412"/>
      <c r="L31" s="135"/>
      <c r="M31" s="2064"/>
      <c r="N31" s="259"/>
      <c r="O31" s="1538"/>
      <c r="P31" s="1538"/>
    </row>
    <row r="32" spans="1:16" s="1859" customFormat="1" ht="0.75" hidden="1" customHeight="1">
      <c r="A32" s="1692"/>
      <c r="B32" s="1692"/>
      <c r="C32" s="296" t="s">
        <v>1028</v>
      </c>
      <c r="D32" s="2298"/>
      <c r="E32" s="2101"/>
      <c r="F32" s="2231"/>
      <c r="G32" s="333"/>
      <c r="H32" s="1412"/>
      <c r="I32" s="571"/>
      <c r="J32" s="495"/>
      <c r="K32" s="1412"/>
      <c r="L32" s="135"/>
      <c r="M32" s="2064"/>
      <c r="N32" s="259"/>
      <c r="O32" s="1538"/>
      <c r="P32" s="1538"/>
    </row>
    <row r="33" spans="1:16" s="1859" customFormat="1" ht="45" hidden="1" customHeight="1">
      <c r="A33" s="1692" t="s">
        <v>155</v>
      </c>
      <c r="B33" s="1692" t="s">
        <v>156</v>
      </c>
      <c r="C33" s="296"/>
      <c r="D33" s="2298"/>
      <c r="E33" s="2101"/>
      <c r="F33" s="223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265" t="str">
        <f>INDEX(PT_DIFFERENTIATION_NTAR,MATCH(B33,PT_DIFFERENTIATION_NTAR_ID,0))</f>
        <v/>
      </c>
      <c r="H33" s="1774"/>
      <c r="I33" s="1651"/>
      <c r="J33" s="1685"/>
      <c r="K33" s="1777"/>
      <c r="L33" s="1774" t="s">
        <v>274</v>
      </c>
      <c r="M33" s="2064"/>
      <c r="N33" s="259"/>
      <c r="O33" s="1538"/>
      <c r="P33" s="1538"/>
    </row>
    <row r="34" spans="1:16" s="1859" customFormat="1" ht="18.75" hidden="1" customHeight="1">
      <c r="A34" s="1692"/>
      <c r="B34" s="1692"/>
      <c r="C34" s="296" t="s">
        <v>1022</v>
      </c>
      <c r="D34" s="2298"/>
      <c r="E34" s="2101"/>
      <c r="F34" s="2231"/>
      <c r="G34" s="2265"/>
      <c r="H34" s="1412"/>
      <c r="I34" s="571" t="s">
        <v>1023</v>
      </c>
      <c r="J34" s="495"/>
      <c r="K34" s="1412"/>
      <c r="L34" s="135"/>
      <c r="M34" s="2064"/>
      <c r="N34" s="259"/>
      <c r="O34" s="1538"/>
      <c r="P34" s="1538"/>
    </row>
    <row r="35" spans="1:16" s="1859" customFormat="1" ht="0.75" hidden="1" customHeight="1">
      <c r="A35" s="1692"/>
      <c r="B35" s="1692"/>
      <c r="C35" s="296" t="s">
        <v>1028</v>
      </c>
      <c r="D35" s="2298"/>
      <c r="E35" s="2101"/>
      <c r="F35" s="2231"/>
      <c r="G35" s="333"/>
      <c r="H35" s="1412"/>
      <c r="I35" s="571"/>
      <c r="J35" s="495"/>
      <c r="K35" s="1412"/>
      <c r="L35" s="135"/>
      <c r="M35" s="2064"/>
      <c r="N35" s="259"/>
      <c r="O35" s="1538"/>
      <c r="P35" s="1538"/>
    </row>
    <row r="36" spans="1:16" s="1859" customFormat="1" ht="18.75" hidden="1" customHeight="1">
      <c r="A36" s="1692" t="s">
        <v>161</v>
      </c>
      <c r="B36" s="1692" t="s">
        <v>162</v>
      </c>
      <c r="C36" s="296"/>
      <c r="D36" s="2298"/>
      <c r="E36" s="2101"/>
      <c r="F36" s="2231" t="str">
        <f>INDEX(PT_DIFFERENTIATION_VTAR,MATCH(A36,PT_DIFFERENTIATION_VTAR_ID,0))</f>
        <v>Тарифы на услуги по передаче тепловой энергии</v>
      </c>
      <c r="G36" s="2265" t="str">
        <f>INDEX(PT_DIFFERENTIATION_NTAR,MATCH(B36,PT_DIFFERENTIATION_NTAR_ID,0))</f>
        <v/>
      </c>
      <c r="H36" s="1774"/>
      <c r="I36" s="1651"/>
      <c r="J36" s="1685"/>
      <c r="K36" s="1777"/>
      <c r="L36" s="1774" t="s">
        <v>274</v>
      </c>
      <c r="M36" s="2064"/>
      <c r="N36" s="259"/>
      <c r="O36" s="1538"/>
      <c r="P36" s="1538"/>
    </row>
    <row r="37" spans="1:16" s="1859" customFormat="1" ht="18.75" hidden="1" customHeight="1">
      <c r="A37" s="1692"/>
      <c r="B37" s="1692"/>
      <c r="C37" s="296" t="s">
        <v>1022</v>
      </c>
      <c r="D37" s="2298"/>
      <c r="E37" s="2101"/>
      <c r="F37" s="2231"/>
      <c r="G37" s="2265"/>
      <c r="H37" s="1412"/>
      <c r="I37" s="571" t="s">
        <v>1023</v>
      </c>
      <c r="J37" s="495"/>
      <c r="K37" s="1412"/>
      <c r="L37" s="135"/>
      <c r="M37" s="2064"/>
      <c r="N37" s="259"/>
      <c r="O37" s="1538"/>
      <c r="P37" s="1538"/>
    </row>
    <row r="38" spans="1:16" s="1859" customFormat="1" ht="0.75" hidden="1" customHeight="1">
      <c r="A38" s="1692"/>
      <c r="B38" s="1692"/>
      <c r="C38" s="296" t="s">
        <v>1028</v>
      </c>
      <c r="D38" s="2298"/>
      <c r="E38" s="2101"/>
      <c r="F38" s="2231"/>
      <c r="G38" s="333"/>
      <c r="H38" s="1412"/>
      <c r="I38" s="571"/>
      <c r="J38" s="495"/>
      <c r="K38" s="1412"/>
      <c r="L38" s="135"/>
      <c r="M38" s="2064"/>
      <c r="N38" s="259"/>
      <c r="O38" s="1538"/>
      <c r="P38" s="1538"/>
    </row>
    <row r="39" spans="1:16" s="1859" customFormat="1" ht="18.75" hidden="1" customHeight="1">
      <c r="A39" s="1692" t="s">
        <v>167</v>
      </c>
      <c r="B39" s="1692" t="s">
        <v>168</v>
      </c>
      <c r="C39" s="296"/>
      <c r="D39" s="2298"/>
      <c r="E39" s="2101"/>
      <c r="F39" s="2231" t="str">
        <f>INDEX(PT_DIFFERENTIATION_VTAR,MATCH(A39,PT_DIFFERENTIATION_VTAR_ID,0))</f>
        <v>Тарифы на услуги по передаче теплоносителя</v>
      </c>
      <c r="G39" s="2265" t="str">
        <f>INDEX(PT_DIFFERENTIATION_NTAR,MATCH(B39,PT_DIFFERENTIATION_NTAR_ID,0))</f>
        <v/>
      </c>
      <c r="H39" s="1774"/>
      <c r="I39" s="1651"/>
      <c r="J39" s="1685"/>
      <c r="K39" s="1777"/>
      <c r="L39" s="1774" t="s">
        <v>274</v>
      </c>
      <c r="M39" s="2064"/>
      <c r="N39" s="259"/>
      <c r="O39" s="1538"/>
      <c r="P39" s="1538"/>
    </row>
    <row r="40" spans="1:16" s="1859" customFormat="1" ht="18.75" hidden="1" customHeight="1">
      <c r="A40" s="1692"/>
      <c r="B40" s="1692"/>
      <c r="C40" s="296" t="s">
        <v>1022</v>
      </c>
      <c r="D40" s="2298"/>
      <c r="E40" s="2101"/>
      <c r="F40" s="2231"/>
      <c r="G40" s="2265"/>
      <c r="H40" s="1412"/>
      <c r="I40" s="571" t="s">
        <v>1023</v>
      </c>
      <c r="J40" s="495"/>
      <c r="K40" s="1412"/>
      <c r="L40" s="135"/>
      <c r="M40" s="2064"/>
      <c r="N40" s="259"/>
      <c r="O40" s="1538"/>
      <c r="P40" s="1538"/>
    </row>
    <row r="41" spans="1:16" s="1859" customFormat="1" ht="0.75" hidden="1" customHeight="1">
      <c r="A41" s="1692"/>
      <c r="B41" s="1692"/>
      <c r="C41" s="296" t="s">
        <v>1028</v>
      </c>
      <c r="D41" s="2298"/>
      <c r="E41" s="2101"/>
      <c r="F41" s="2231"/>
      <c r="G41" s="333"/>
      <c r="H41" s="1412"/>
      <c r="I41" s="571"/>
      <c r="J41" s="495"/>
      <c r="K41" s="1412"/>
      <c r="L41" s="135"/>
      <c r="M41" s="2064"/>
      <c r="N41" s="259"/>
      <c r="O41" s="1538"/>
      <c r="P41" s="1538"/>
    </row>
    <row r="42" spans="1:16" s="1859" customFormat="1" ht="18.75" hidden="1" customHeight="1">
      <c r="A42" s="1692" t="s">
        <v>173</v>
      </c>
      <c r="B42" s="1692" t="s">
        <v>174</v>
      </c>
      <c r="C42" s="296"/>
      <c r="D42" s="2298"/>
      <c r="E42" s="2101"/>
      <c r="F42" s="2231" t="str">
        <f>INDEX(PT_DIFFERENTIATION_VTAR,MATCH(A42,PT_DIFFERENTIATION_VTAR_ID,0))</f>
        <v>Плата за услуги по поддержанию резервной тепловой мощности при отсутствии потребления тепловой энергии</v>
      </c>
      <c r="G42" s="2265" t="str">
        <f>INDEX(PT_DIFFERENTIATION_NTAR,MATCH(B42,PT_DIFFERENTIATION_NTAR_ID,0))</f>
        <v/>
      </c>
      <c r="H42" s="1774"/>
      <c r="I42" s="1651"/>
      <c r="J42" s="1685"/>
      <c r="K42" s="1777"/>
      <c r="L42" s="1774" t="s">
        <v>274</v>
      </c>
      <c r="M42" s="2064"/>
      <c r="N42" s="259"/>
      <c r="O42" s="1538"/>
      <c r="P42" s="1538"/>
    </row>
    <row r="43" spans="1:16" s="1859" customFormat="1" ht="18.75" hidden="1" customHeight="1">
      <c r="A43" s="1692"/>
      <c r="B43" s="1692"/>
      <c r="C43" s="296" t="s">
        <v>1022</v>
      </c>
      <c r="D43" s="2298"/>
      <c r="E43" s="2101"/>
      <c r="F43" s="2231"/>
      <c r="G43" s="2265"/>
      <c r="H43" s="1412"/>
      <c r="I43" s="571" t="s">
        <v>1023</v>
      </c>
      <c r="J43" s="495"/>
      <c r="K43" s="1412"/>
      <c r="L43" s="135"/>
      <c r="M43" s="2064"/>
      <c r="N43" s="259"/>
      <c r="O43" s="1538"/>
      <c r="P43" s="1538"/>
    </row>
    <row r="44" spans="1:16" s="1859" customFormat="1" ht="0.75" hidden="1" customHeight="1">
      <c r="A44" s="1692"/>
      <c r="B44" s="1692"/>
      <c r="C44" s="296" t="s">
        <v>1028</v>
      </c>
      <c r="D44" s="2298"/>
      <c r="E44" s="2101"/>
      <c r="F44" s="2231"/>
      <c r="G44" s="333"/>
      <c r="H44" s="1412"/>
      <c r="I44" s="571"/>
      <c r="J44" s="495"/>
      <c r="K44" s="1412"/>
      <c r="L44" s="135"/>
      <c r="M44" s="2064"/>
      <c r="N44" s="259"/>
      <c r="O44" s="1538"/>
      <c r="P44" s="1538"/>
    </row>
    <row r="45" spans="1:16" s="1859" customFormat="1" ht="18.75" hidden="1" customHeight="1">
      <c r="A45" s="1692" t="s">
        <v>179</v>
      </c>
      <c r="B45" s="1692" t="s">
        <v>180</v>
      </c>
      <c r="C45" s="296"/>
      <c r="D45" s="2298"/>
      <c r="E45" s="2101"/>
      <c r="F45" s="2231" t="str">
        <f>INDEX(PT_DIFFERENTIATION_VTAR,MATCH(A45,PT_DIFFERENTIATION_VTAR_ID,0))</f>
        <v>Плата за подключение (технологическое присоединение) к системе теплоснабжения</v>
      </c>
      <c r="G45" s="2265" t="str">
        <f>INDEX(PT_DIFFERENTIATION_NTAR,MATCH(B45,PT_DIFFERENTIATION_NTAR_ID,0))</f>
        <v/>
      </c>
      <c r="H45" s="1774"/>
      <c r="I45" s="1651"/>
      <c r="J45" s="1685"/>
      <c r="K45" s="1777"/>
      <c r="L45" s="1774" t="s">
        <v>274</v>
      </c>
      <c r="M45" s="2064"/>
      <c r="N45" s="259"/>
      <c r="O45" s="1538"/>
      <c r="P45" s="1538"/>
    </row>
    <row r="46" spans="1:16" s="1859" customFormat="1" ht="18.75" hidden="1" customHeight="1">
      <c r="A46" s="1692"/>
      <c r="B46" s="1692"/>
      <c r="C46" s="296" t="s">
        <v>1022</v>
      </c>
      <c r="D46" s="2298"/>
      <c r="E46" s="2101"/>
      <c r="F46" s="2231"/>
      <c r="G46" s="2265"/>
      <c r="H46" s="1412"/>
      <c r="I46" s="571" t="s">
        <v>1023</v>
      </c>
      <c r="J46" s="495"/>
      <c r="K46" s="1412"/>
      <c r="L46" s="135"/>
      <c r="M46" s="2064"/>
      <c r="N46" s="259"/>
      <c r="O46" s="1538"/>
      <c r="P46" s="1538"/>
    </row>
    <row r="47" spans="1:16" s="1859" customFormat="1" ht="0.75" hidden="1" customHeight="1">
      <c r="A47" s="1692"/>
      <c r="B47" s="1692"/>
      <c r="C47" s="296" t="s">
        <v>1028</v>
      </c>
      <c r="D47" s="2298"/>
      <c r="E47" s="2101"/>
      <c r="F47" s="2231"/>
      <c r="G47" s="333"/>
      <c r="H47" s="1412"/>
      <c r="I47" s="571"/>
      <c r="J47" s="495"/>
      <c r="K47" s="1412"/>
      <c r="L47" s="135"/>
      <c r="M47" s="2064"/>
      <c r="N47" s="259"/>
      <c r="O47" s="1538"/>
      <c r="P47" s="1538"/>
    </row>
    <row r="48" spans="1:16" s="1859" customFormat="1" ht="18.75" hidden="1" customHeight="1">
      <c r="A48" s="1692" t="s">
        <v>193</v>
      </c>
      <c r="B48" s="1692" t="s">
        <v>194</v>
      </c>
      <c r="C48" s="296"/>
      <c r="D48" s="2298"/>
      <c r="E48" s="2101"/>
      <c r="F48" s="2231" t="str">
        <f>INDEX(PT_DIFFERENTIATION_VTAR,MATCH(A48,PT_DIFFERENTIATION_VTAR_ID,0))</f>
        <v>Тариф на питьевую воду (питьевое водоснабжение)</v>
      </c>
      <c r="G48" s="2265" t="str">
        <f>INDEX(PT_DIFFERENTIATION_NTAR,MATCH(B48,PT_DIFFERENTIATION_NTAR_ID,0))</f>
        <v/>
      </c>
      <c r="H48" s="1774"/>
      <c r="I48" s="1651"/>
      <c r="J48" s="1685"/>
      <c r="K48" s="1777"/>
      <c r="L48" s="1774" t="s">
        <v>274</v>
      </c>
      <c r="M48" s="2064"/>
      <c r="N48" s="259"/>
      <c r="O48" s="1538"/>
      <c r="P48" s="1538"/>
    </row>
    <row r="49" spans="1:16" s="1859" customFormat="1" ht="18.75" hidden="1" customHeight="1">
      <c r="A49" s="1692"/>
      <c r="B49" s="1692"/>
      <c r="C49" s="296" t="s">
        <v>1022</v>
      </c>
      <c r="D49" s="2298"/>
      <c r="E49" s="2101"/>
      <c r="F49" s="2231"/>
      <c r="G49" s="2265"/>
      <c r="H49" s="1412"/>
      <c r="I49" s="571" t="s">
        <v>1023</v>
      </c>
      <c r="J49" s="495"/>
      <c r="K49" s="1412"/>
      <c r="L49" s="135"/>
      <c r="M49" s="2064"/>
      <c r="N49" s="259"/>
      <c r="O49" s="1538"/>
      <c r="P49" s="1538"/>
    </row>
    <row r="50" spans="1:16" s="1859" customFormat="1" ht="0.75" hidden="1" customHeight="1">
      <c r="A50" s="1692"/>
      <c r="B50" s="1692"/>
      <c r="C50" s="296" t="s">
        <v>1028</v>
      </c>
      <c r="D50" s="2298"/>
      <c r="E50" s="2101"/>
      <c r="F50" s="2231"/>
      <c r="G50" s="333"/>
      <c r="H50" s="1412"/>
      <c r="I50" s="571"/>
      <c r="J50" s="495"/>
      <c r="K50" s="1412"/>
      <c r="L50" s="135"/>
      <c r="M50" s="2064"/>
      <c r="N50" s="259"/>
      <c r="O50" s="1538"/>
      <c r="P50" s="1538"/>
    </row>
    <row r="51" spans="1:16" s="1859" customFormat="1" ht="18.75" hidden="1" customHeight="1">
      <c r="A51" s="1692" t="s">
        <v>198</v>
      </c>
      <c r="B51" s="1692" t="s">
        <v>199</v>
      </c>
      <c r="C51" s="296"/>
      <c r="D51" s="2298"/>
      <c r="E51" s="2101"/>
      <c r="F51" s="2231" t="str">
        <f>INDEX(PT_DIFFERENTIATION_VTAR,MATCH(A51,PT_DIFFERENTIATION_VTAR_ID,0))</f>
        <v>Тариф на техническую воду</v>
      </c>
      <c r="G51" s="2265" t="str">
        <f>INDEX(PT_DIFFERENTIATION_NTAR,MATCH(B51,PT_DIFFERENTIATION_NTAR_ID,0))</f>
        <v/>
      </c>
      <c r="H51" s="1774"/>
      <c r="I51" s="1651"/>
      <c r="J51" s="1685"/>
      <c r="K51" s="1777"/>
      <c r="L51" s="1774" t="s">
        <v>274</v>
      </c>
      <c r="M51" s="2064"/>
      <c r="N51" s="259"/>
      <c r="O51" s="1538"/>
      <c r="P51" s="1538"/>
    </row>
    <row r="52" spans="1:16" s="1859" customFormat="1" ht="18.75" hidden="1" customHeight="1">
      <c r="A52" s="1692"/>
      <c r="B52" s="1692"/>
      <c r="C52" s="296" t="s">
        <v>1022</v>
      </c>
      <c r="D52" s="2298"/>
      <c r="E52" s="2101"/>
      <c r="F52" s="2231"/>
      <c r="G52" s="2265"/>
      <c r="H52" s="1412"/>
      <c r="I52" s="571" t="s">
        <v>1023</v>
      </c>
      <c r="J52" s="495"/>
      <c r="K52" s="1412"/>
      <c r="L52" s="135"/>
      <c r="M52" s="2064"/>
      <c r="N52" s="259"/>
      <c r="O52" s="1538"/>
      <c r="P52" s="1538"/>
    </row>
    <row r="53" spans="1:16" s="1859" customFormat="1" ht="0.75" hidden="1" customHeight="1">
      <c r="A53" s="1692"/>
      <c r="B53" s="1692"/>
      <c r="C53" s="296" t="s">
        <v>1028</v>
      </c>
      <c r="D53" s="2298"/>
      <c r="E53" s="2101"/>
      <c r="F53" s="2231"/>
      <c r="G53" s="333"/>
      <c r="H53" s="1412"/>
      <c r="I53" s="571"/>
      <c r="J53" s="495"/>
      <c r="K53" s="1412"/>
      <c r="L53" s="135"/>
      <c r="M53" s="2064"/>
      <c r="N53" s="259"/>
      <c r="O53" s="1538"/>
      <c r="P53" s="1538"/>
    </row>
    <row r="54" spans="1:16" s="1859" customFormat="1" ht="18.75" hidden="1" customHeight="1">
      <c r="A54" s="1692" t="s">
        <v>203</v>
      </c>
      <c r="B54" s="1692" t="s">
        <v>204</v>
      </c>
      <c r="C54" s="296"/>
      <c r="D54" s="2298"/>
      <c r="E54" s="2101"/>
      <c r="F54" s="2231" t="str">
        <f>INDEX(PT_DIFFERENTIATION_VTAR,MATCH(A54,PT_DIFFERENTIATION_VTAR_ID,0))</f>
        <v>Тариф на транспортировку воды</v>
      </c>
      <c r="G54" s="2265" t="str">
        <f>INDEX(PT_DIFFERENTIATION_NTAR,MATCH(B54,PT_DIFFERENTIATION_NTAR_ID,0))</f>
        <v/>
      </c>
      <c r="H54" s="1774"/>
      <c r="I54" s="1651"/>
      <c r="J54" s="1685"/>
      <c r="K54" s="1777"/>
      <c r="L54" s="1774" t="s">
        <v>274</v>
      </c>
      <c r="M54" s="2064"/>
      <c r="N54" s="259"/>
      <c r="O54" s="1538"/>
      <c r="P54" s="1538"/>
    </row>
    <row r="55" spans="1:16" s="1859" customFormat="1" ht="18.75" hidden="1" customHeight="1">
      <c r="A55" s="1692"/>
      <c r="B55" s="1692"/>
      <c r="C55" s="296" t="s">
        <v>1022</v>
      </c>
      <c r="D55" s="2298"/>
      <c r="E55" s="2101"/>
      <c r="F55" s="2231"/>
      <c r="G55" s="2265"/>
      <c r="H55" s="1412"/>
      <c r="I55" s="571" t="s">
        <v>1023</v>
      </c>
      <c r="J55" s="495"/>
      <c r="K55" s="1412"/>
      <c r="L55" s="135"/>
      <c r="M55" s="2064"/>
      <c r="N55" s="259"/>
      <c r="O55" s="1538"/>
      <c r="P55" s="1538"/>
    </row>
    <row r="56" spans="1:16" s="1859" customFormat="1" ht="0.75" hidden="1" customHeight="1">
      <c r="A56" s="1692"/>
      <c r="B56" s="1692"/>
      <c r="C56" s="296" t="s">
        <v>1028</v>
      </c>
      <c r="D56" s="2298"/>
      <c r="E56" s="2101"/>
      <c r="F56" s="2231"/>
      <c r="G56" s="333"/>
      <c r="H56" s="1412"/>
      <c r="I56" s="571"/>
      <c r="J56" s="495"/>
      <c r="K56" s="1412"/>
      <c r="L56" s="135"/>
      <c r="M56" s="2064"/>
      <c r="N56" s="259"/>
      <c r="O56" s="1538"/>
      <c r="P56" s="1538"/>
    </row>
    <row r="57" spans="1:16" s="1859" customFormat="1" ht="18.75" hidden="1" customHeight="1">
      <c r="A57" s="1692" t="s">
        <v>208</v>
      </c>
      <c r="B57" s="1692" t="s">
        <v>209</v>
      </c>
      <c r="C57" s="296"/>
      <c r="D57" s="2298"/>
      <c r="E57" s="2101"/>
      <c r="F57" s="2231" t="str">
        <f>INDEX(PT_DIFFERENTIATION_VTAR,MATCH(A57,PT_DIFFERENTIATION_VTAR_ID,0))</f>
        <v>Тариф на подвоз воды</v>
      </c>
      <c r="G57" s="2265" t="str">
        <f>INDEX(PT_DIFFERENTIATION_NTAR,MATCH(B57,PT_DIFFERENTIATION_NTAR_ID,0))</f>
        <v/>
      </c>
      <c r="H57" s="1774"/>
      <c r="I57" s="1651"/>
      <c r="J57" s="1685"/>
      <c r="K57" s="1777"/>
      <c r="L57" s="1774" t="s">
        <v>274</v>
      </c>
      <c r="M57" s="2064"/>
      <c r="N57" s="259"/>
      <c r="O57" s="1538"/>
      <c r="P57" s="1538"/>
    </row>
    <row r="58" spans="1:16" s="1859" customFormat="1" ht="18.75" hidden="1" customHeight="1">
      <c r="A58" s="1692"/>
      <c r="B58" s="1692"/>
      <c r="C58" s="296" t="s">
        <v>1022</v>
      </c>
      <c r="D58" s="2298"/>
      <c r="E58" s="2101"/>
      <c r="F58" s="2231"/>
      <c r="G58" s="2265"/>
      <c r="H58" s="1412"/>
      <c r="I58" s="571" t="s">
        <v>1023</v>
      </c>
      <c r="J58" s="495"/>
      <c r="K58" s="1412"/>
      <c r="L58" s="135"/>
      <c r="M58" s="2064"/>
      <c r="N58" s="259"/>
      <c r="O58" s="1538"/>
      <c r="P58" s="1538"/>
    </row>
    <row r="59" spans="1:16" s="1859" customFormat="1" ht="0.75" hidden="1" customHeight="1">
      <c r="A59" s="1692"/>
      <c r="B59" s="1692"/>
      <c r="C59" s="296" t="s">
        <v>1028</v>
      </c>
      <c r="D59" s="2298"/>
      <c r="E59" s="2101"/>
      <c r="F59" s="2231"/>
      <c r="G59" s="333"/>
      <c r="H59" s="1412"/>
      <c r="I59" s="571"/>
      <c r="J59" s="495"/>
      <c r="K59" s="1412"/>
      <c r="L59" s="135"/>
      <c r="M59" s="2064"/>
      <c r="N59" s="259"/>
      <c r="O59" s="1538"/>
      <c r="P59" s="1538"/>
    </row>
    <row r="60" spans="1:16" s="1859" customFormat="1" ht="18.75" hidden="1" customHeight="1">
      <c r="A60" s="1692" t="s">
        <v>213</v>
      </c>
      <c r="B60" s="1692" t="s">
        <v>214</v>
      </c>
      <c r="C60" s="296"/>
      <c r="D60" s="2298"/>
      <c r="E60" s="2101"/>
      <c r="F60" s="2231" t="str">
        <f>INDEX(PT_DIFFERENTIATION_VTAR,MATCH(A60,PT_DIFFERENTIATION_VTAR_ID,0))</f>
        <v>Тариф на подключение (технологическое присоединение) к централизованной системе холодного водоснабжения</v>
      </c>
      <c r="G60" s="2265" t="str">
        <f>INDEX(PT_DIFFERENTIATION_NTAR,MATCH(B60,PT_DIFFERENTIATION_NTAR_ID,0))</f>
        <v/>
      </c>
      <c r="H60" s="1774"/>
      <c r="I60" s="1651"/>
      <c r="J60" s="1685"/>
      <c r="K60" s="1777"/>
      <c r="L60" s="1774" t="s">
        <v>274</v>
      </c>
      <c r="M60" s="2064"/>
      <c r="N60" s="259"/>
      <c r="O60" s="1538"/>
      <c r="P60" s="1538"/>
    </row>
    <row r="61" spans="1:16" s="1859" customFormat="1" ht="18.75" hidden="1" customHeight="1">
      <c r="A61" s="1692"/>
      <c r="B61" s="1692"/>
      <c r="C61" s="296" t="s">
        <v>1022</v>
      </c>
      <c r="D61" s="2298"/>
      <c r="E61" s="2101"/>
      <c r="F61" s="2231"/>
      <c r="G61" s="2265"/>
      <c r="H61" s="1412"/>
      <c r="I61" s="571" t="s">
        <v>1023</v>
      </c>
      <c r="J61" s="495"/>
      <c r="K61" s="1412"/>
      <c r="L61" s="135"/>
      <c r="M61" s="2064"/>
      <c r="N61" s="259"/>
      <c r="O61" s="1538"/>
      <c r="P61" s="1538"/>
    </row>
    <row r="62" spans="1:16" s="1859" customFormat="1" ht="0.75" hidden="1" customHeight="1">
      <c r="A62" s="1692"/>
      <c r="B62" s="1692"/>
      <c r="C62" s="296" t="s">
        <v>1028</v>
      </c>
      <c r="D62" s="2298"/>
      <c r="E62" s="2101"/>
      <c r="F62" s="2231"/>
      <c r="G62" s="333"/>
      <c r="H62" s="1412"/>
      <c r="I62" s="571"/>
      <c r="J62" s="495"/>
      <c r="K62" s="1412"/>
      <c r="L62" s="135"/>
      <c r="M62" s="2064"/>
      <c r="N62" s="259"/>
      <c r="O62" s="1538"/>
      <c r="P62" s="1538"/>
    </row>
    <row r="63" spans="1:16" s="1859" customFormat="1" ht="18.75" hidden="1" customHeight="1">
      <c r="A63" s="1692" t="s">
        <v>218</v>
      </c>
      <c r="B63" s="1692" t="s">
        <v>219</v>
      </c>
      <c r="C63" s="296"/>
      <c r="D63" s="2298"/>
      <c r="E63" s="2101"/>
      <c r="F63" s="2231" t="str">
        <f>INDEX(PT_DIFFERENTIATION_VTAR,MATCH(A63,PT_DIFFERENTIATION_VTAR_ID,0))</f>
        <v>Тариф на горячую воду (горячее водоснабжение)</v>
      </c>
      <c r="G63" s="2265" t="str">
        <f>INDEX(PT_DIFFERENTIATION_NTAR,MATCH(B63,PT_DIFFERENTIATION_NTAR_ID,0))</f>
        <v/>
      </c>
      <c r="H63" s="1774"/>
      <c r="I63" s="1651"/>
      <c r="J63" s="1685"/>
      <c r="K63" s="1777"/>
      <c r="L63" s="1774" t="s">
        <v>274</v>
      </c>
      <c r="M63" s="2064"/>
      <c r="N63" s="259"/>
      <c r="O63" s="1538"/>
      <c r="P63" s="1538"/>
    </row>
    <row r="64" spans="1:16" s="1859" customFormat="1" ht="18.75" hidden="1" customHeight="1">
      <c r="A64" s="1692"/>
      <c r="B64" s="1692"/>
      <c r="C64" s="296" t="s">
        <v>1022</v>
      </c>
      <c r="D64" s="2298"/>
      <c r="E64" s="2101"/>
      <c r="F64" s="2231"/>
      <c r="G64" s="2265"/>
      <c r="H64" s="1412"/>
      <c r="I64" s="571" t="s">
        <v>1023</v>
      </c>
      <c r="J64" s="495"/>
      <c r="K64" s="1412"/>
      <c r="L64" s="135"/>
      <c r="M64" s="2064"/>
      <c r="N64" s="259"/>
      <c r="O64" s="1538"/>
      <c r="P64" s="1538"/>
    </row>
    <row r="65" spans="1:16" s="1859" customFormat="1" ht="0.75" hidden="1" customHeight="1">
      <c r="A65" s="1692"/>
      <c r="B65" s="1692"/>
      <c r="C65" s="296" t="s">
        <v>1028</v>
      </c>
      <c r="D65" s="2298"/>
      <c r="E65" s="2101"/>
      <c r="F65" s="2231"/>
      <c r="G65" s="333"/>
      <c r="H65" s="1412"/>
      <c r="I65" s="571"/>
      <c r="J65" s="495"/>
      <c r="K65" s="1412"/>
      <c r="L65" s="135"/>
      <c r="M65" s="2064"/>
      <c r="N65" s="259"/>
      <c r="O65" s="1538"/>
      <c r="P65" s="1538"/>
    </row>
    <row r="66" spans="1:16" s="1859" customFormat="1" ht="18.75" hidden="1" customHeight="1">
      <c r="A66" s="1692" t="s">
        <v>223</v>
      </c>
      <c r="B66" s="1692" t="s">
        <v>224</v>
      </c>
      <c r="C66" s="296"/>
      <c r="D66" s="2298"/>
      <c r="E66" s="2101"/>
      <c r="F66" s="2231" t="str">
        <f>INDEX(PT_DIFFERENTIATION_VTAR,MATCH(A66,PT_DIFFERENTIATION_VTAR_ID,0))</f>
        <v>Тариф на транспортировку горячей воды</v>
      </c>
      <c r="G66" s="2265" t="str">
        <f>INDEX(PT_DIFFERENTIATION_NTAR,MATCH(B66,PT_DIFFERENTIATION_NTAR_ID,0))</f>
        <v/>
      </c>
      <c r="H66" s="1774"/>
      <c r="I66" s="1651"/>
      <c r="J66" s="1685"/>
      <c r="K66" s="1777"/>
      <c r="L66" s="1774" t="s">
        <v>274</v>
      </c>
      <c r="M66" s="2064"/>
      <c r="N66" s="259"/>
      <c r="O66" s="1538"/>
      <c r="P66" s="1538"/>
    </row>
    <row r="67" spans="1:16" s="1859" customFormat="1" ht="18.75" hidden="1" customHeight="1">
      <c r="A67" s="1692"/>
      <c r="B67" s="1692"/>
      <c r="C67" s="296" t="s">
        <v>1022</v>
      </c>
      <c r="D67" s="2298"/>
      <c r="E67" s="2101"/>
      <c r="F67" s="2231"/>
      <c r="G67" s="2265"/>
      <c r="H67" s="1412"/>
      <c r="I67" s="571" t="s">
        <v>1023</v>
      </c>
      <c r="J67" s="495"/>
      <c r="K67" s="1412"/>
      <c r="L67" s="135"/>
      <c r="M67" s="2064"/>
      <c r="N67" s="259"/>
      <c r="O67" s="1538"/>
      <c r="P67" s="1538"/>
    </row>
    <row r="68" spans="1:16" s="1859" customFormat="1" ht="0.75" hidden="1" customHeight="1">
      <c r="A68" s="1692"/>
      <c r="B68" s="1692"/>
      <c r="C68" s="296" t="s">
        <v>1028</v>
      </c>
      <c r="D68" s="2298"/>
      <c r="E68" s="2101"/>
      <c r="F68" s="2231"/>
      <c r="G68" s="333"/>
      <c r="H68" s="1412"/>
      <c r="I68" s="571"/>
      <c r="J68" s="495"/>
      <c r="K68" s="1412"/>
      <c r="L68" s="135"/>
      <c r="M68" s="2064"/>
      <c r="N68" s="259"/>
      <c r="O68" s="1538"/>
      <c r="P68" s="1538"/>
    </row>
    <row r="69" spans="1:16" s="1859" customFormat="1" ht="18.75" hidden="1" customHeight="1">
      <c r="A69" s="1692" t="s">
        <v>228</v>
      </c>
      <c r="B69" s="1692" t="s">
        <v>229</v>
      </c>
      <c r="C69" s="296"/>
      <c r="D69" s="2298"/>
      <c r="E69" s="2101"/>
      <c r="F69" s="2231" t="str">
        <f>INDEX(PT_DIFFERENTIATION_VTAR,MATCH(A69,PT_DIFFERENTIATION_VTAR_ID,0))</f>
        <v>Тариф на подключение (технологическое присоединение) к централизованной системе горячего водоснабжения</v>
      </c>
      <c r="G69" s="2265" t="str">
        <f>INDEX(PT_DIFFERENTIATION_NTAR,MATCH(B69,PT_DIFFERENTIATION_NTAR_ID,0))</f>
        <v/>
      </c>
      <c r="H69" s="1774"/>
      <c r="I69" s="1651"/>
      <c r="J69" s="1685"/>
      <c r="K69" s="1777"/>
      <c r="L69" s="1774" t="s">
        <v>274</v>
      </c>
      <c r="M69" s="2064"/>
      <c r="N69" s="259"/>
      <c r="O69" s="1538"/>
      <c r="P69" s="1538"/>
    </row>
    <row r="70" spans="1:16" s="1859" customFormat="1" ht="18.75" hidden="1" customHeight="1">
      <c r="A70" s="1692"/>
      <c r="B70" s="1692"/>
      <c r="C70" s="296" t="s">
        <v>1022</v>
      </c>
      <c r="D70" s="2298"/>
      <c r="E70" s="2101"/>
      <c r="F70" s="2231"/>
      <c r="G70" s="2265"/>
      <c r="H70" s="1412"/>
      <c r="I70" s="571" t="s">
        <v>1023</v>
      </c>
      <c r="J70" s="495"/>
      <c r="K70" s="1412"/>
      <c r="L70" s="135"/>
      <c r="M70" s="2064"/>
      <c r="N70" s="259"/>
      <c r="O70" s="1538"/>
      <c r="P70" s="1538"/>
    </row>
    <row r="71" spans="1:16" s="1859" customFormat="1" ht="0.75" hidden="1" customHeight="1">
      <c r="A71" s="1692"/>
      <c r="B71" s="1692"/>
      <c r="C71" s="296" t="s">
        <v>1028</v>
      </c>
      <c r="D71" s="2298"/>
      <c r="E71" s="2101"/>
      <c r="F71" s="2231"/>
      <c r="G71" s="333"/>
      <c r="H71" s="1412"/>
      <c r="I71" s="571"/>
      <c r="J71" s="495"/>
      <c r="K71" s="1412"/>
      <c r="L71" s="135"/>
      <c r="M71" s="2064"/>
      <c r="N71" s="259"/>
      <c r="O71" s="1538"/>
      <c r="P71" s="1538"/>
    </row>
    <row r="72" spans="1:16" s="1859" customFormat="1" ht="18.75" hidden="1" customHeight="1">
      <c r="A72" s="1692" t="s">
        <v>233</v>
      </c>
      <c r="B72" s="1692" t="s">
        <v>234</v>
      </c>
      <c r="C72" s="296"/>
      <c r="D72" s="2298"/>
      <c r="E72" s="2101"/>
      <c r="F72" s="2231" t="str">
        <f>INDEX(PT_DIFFERENTIATION_VTAR,MATCH(A72,PT_DIFFERENTIATION_VTAR_ID,0))</f>
        <v>Тариф на водоотведение</v>
      </c>
      <c r="G72" s="2265" t="str">
        <f>INDEX(PT_DIFFERENTIATION_NTAR,MATCH(B72,PT_DIFFERENTIATION_NTAR_ID,0))</f>
        <v/>
      </c>
      <c r="H72" s="1774"/>
      <c r="I72" s="1651"/>
      <c r="J72" s="1685"/>
      <c r="K72" s="1777"/>
      <c r="L72" s="1774" t="s">
        <v>274</v>
      </c>
      <c r="M72" s="2064"/>
      <c r="N72" s="259"/>
      <c r="O72" s="1538"/>
      <c r="P72" s="1538"/>
    </row>
    <row r="73" spans="1:16" s="1859" customFormat="1" ht="18.75" hidden="1" customHeight="1">
      <c r="A73" s="1692"/>
      <c r="B73" s="1692"/>
      <c r="C73" s="296" t="s">
        <v>1022</v>
      </c>
      <c r="D73" s="2298"/>
      <c r="E73" s="2101"/>
      <c r="F73" s="2231"/>
      <c r="G73" s="2265"/>
      <c r="H73" s="1412"/>
      <c r="I73" s="571" t="s">
        <v>1023</v>
      </c>
      <c r="J73" s="495"/>
      <c r="K73" s="1412"/>
      <c r="L73" s="135"/>
      <c r="M73" s="2064"/>
      <c r="N73" s="259"/>
      <c r="O73" s="1538"/>
      <c r="P73" s="1538"/>
    </row>
    <row r="74" spans="1:16" s="1859" customFormat="1" ht="0.75" hidden="1" customHeight="1">
      <c r="A74" s="1692"/>
      <c r="B74" s="1692"/>
      <c r="C74" s="296" t="s">
        <v>1028</v>
      </c>
      <c r="D74" s="2298"/>
      <c r="E74" s="2101"/>
      <c r="F74" s="2231"/>
      <c r="G74" s="333"/>
      <c r="H74" s="1412"/>
      <c r="I74" s="571"/>
      <c r="J74" s="495"/>
      <c r="K74" s="1412"/>
      <c r="L74" s="135"/>
      <c r="M74" s="2064"/>
      <c r="N74" s="259"/>
      <c r="O74" s="1538"/>
      <c r="P74" s="1538"/>
    </row>
    <row r="75" spans="1:16" s="1859" customFormat="1" ht="18.75" hidden="1" customHeight="1">
      <c r="A75" s="1692" t="s">
        <v>238</v>
      </c>
      <c r="B75" s="1692" t="s">
        <v>239</v>
      </c>
      <c r="C75" s="296"/>
      <c r="D75" s="2298"/>
      <c r="E75" s="2101"/>
      <c r="F75" s="2231" t="str">
        <f>INDEX(PT_DIFFERENTIATION_VTAR,MATCH(A75,PT_DIFFERENTIATION_VTAR_ID,0))</f>
        <v>Тариф на транспортировку сточных вод</v>
      </c>
      <c r="G75" s="2265" t="str">
        <f>INDEX(PT_DIFFERENTIATION_NTAR,MATCH(B75,PT_DIFFERENTIATION_NTAR_ID,0))</f>
        <v/>
      </c>
      <c r="H75" s="1774"/>
      <c r="I75" s="1651"/>
      <c r="J75" s="1685"/>
      <c r="K75" s="1777"/>
      <c r="L75" s="1774" t="s">
        <v>274</v>
      </c>
      <c r="M75" s="2064"/>
      <c r="N75" s="259"/>
      <c r="O75" s="1538"/>
      <c r="P75" s="1538"/>
    </row>
    <row r="76" spans="1:16" s="1859" customFormat="1" ht="18.75" hidden="1" customHeight="1">
      <c r="A76" s="1692"/>
      <c r="B76" s="1692"/>
      <c r="C76" s="296" t="s">
        <v>1022</v>
      </c>
      <c r="D76" s="2298"/>
      <c r="E76" s="2101"/>
      <c r="F76" s="2231"/>
      <c r="G76" s="2265"/>
      <c r="H76" s="1412"/>
      <c r="I76" s="571" t="s">
        <v>1023</v>
      </c>
      <c r="J76" s="495"/>
      <c r="K76" s="1412"/>
      <c r="L76" s="135"/>
      <c r="M76" s="2064"/>
      <c r="N76" s="259"/>
      <c r="O76" s="1538"/>
      <c r="P76" s="1538"/>
    </row>
    <row r="77" spans="1:16" s="1859" customFormat="1" ht="0.75" hidden="1" customHeight="1">
      <c r="A77" s="1692"/>
      <c r="B77" s="1692"/>
      <c r="C77" s="296" t="s">
        <v>1028</v>
      </c>
      <c r="D77" s="2298"/>
      <c r="E77" s="2101"/>
      <c r="F77" s="2231"/>
      <c r="G77" s="333"/>
      <c r="H77" s="1412"/>
      <c r="I77" s="571"/>
      <c r="J77" s="495"/>
      <c r="K77" s="1412"/>
      <c r="L77" s="135"/>
      <c r="M77" s="2064"/>
      <c r="N77" s="259"/>
      <c r="O77" s="1538"/>
      <c r="P77" s="1538"/>
    </row>
    <row r="78" spans="1:16" s="1859" customFormat="1" ht="18.75" hidden="1" customHeight="1">
      <c r="A78" s="1692" t="s">
        <v>243</v>
      </c>
      <c r="B78" s="1692" t="s">
        <v>244</v>
      </c>
      <c r="C78" s="296"/>
      <c r="D78" s="2298"/>
      <c r="E78" s="2101"/>
      <c r="F78" s="2231" t="str">
        <f>INDEX(PT_DIFFERENTIATION_VTAR,MATCH(A78,PT_DIFFERENTIATION_VTAR_ID,0))</f>
        <v>Тариф на подключение (технологическое присоединение) к централизованной системе водоотведения</v>
      </c>
      <c r="G78" s="2265" t="str">
        <f>INDEX(PT_DIFFERENTIATION_NTAR,MATCH(B78,PT_DIFFERENTIATION_NTAR_ID,0))</f>
        <v/>
      </c>
      <c r="H78" s="1774"/>
      <c r="I78" s="1651"/>
      <c r="J78" s="1685"/>
      <c r="K78" s="1777"/>
      <c r="L78" s="1774" t="s">
        <v>274</v>
      </c>
      <c r="M78" s="2064"/>
      <c r="N78" s="259"/>
      <c r="O78" s="1538"/>
      <c r="P78" s="1538"/>
    </row>
    <row r="79" spans="1:16" s="1859" customFormat="1" ht="18.75" hidden="1" customHeight="1">
      <c r="A79" s="1692"/>
      <c r="B79" s="1692"/>
      <c r="C79" s="296" t="s">
        <v>1022</v>
      </c>
      <c r="D79" s="2298"/>
      <c r="E79" s="2101"/>
      <c r="F79" s="2231"/>
      <c r="G79" s="2265"/>
      <c r="H79" s="1412"/>
      <c r="I79" s="571" t="s">
        <v>1023</v>
      </c>
      <c r="J79" s="495"/>
      <c r="K79" s="1412"/>
      <c r="L79" s="135"/>
      <c r="M79" s="2064"/>
      <c r="N79" s="259"/>
      <c r="O79" s="1538"/>
      <c r="P79" s="1538"/>
    </row>
    <row r="80" spans="1:16" s="1859" customFormat="1" ht="0.75" customHeight="1">
      <c r="A80" s="1692"/>
      <c r="B80" s="1692"/>
      <c r="C80" s="296" t="s">
        <v>1028</v>
      </c>
      <c r="D80" s="2298"/>
      <c r="E80" s="2101"/>
      <c r="F80" s="2231"/>
      <c r="G80" s="333"/>
      <c r="H80" s="1412"/>
      <c r="I80" s="571"/>
      <c r="J80" s="495"/>
      <c r="K80" s="1412"/>
      <c r="L80" s="135"/>
      <c r="M80" s="2064"/>
      <c r="N80" s="259"/>
      <c r="O80" s="1538"/>
      <c r="P80" s="1538"/>
    </row>
    <row r="81" spans="1:16" ht="18.75" customHeight="1">
      <c r="A81" s="1692"/>
      <c r="B81" s="1692"/>
      <c r="D81" s="304"/>
      <c r="E81" s="71" t="s">
        <v>92</v>
      </c>
      <c r="F81" s="229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1" s="2292"/>
      <c r="H81" s="2292"/>
      <c r="I81" s="2292"/>
      <c r="J81" s="2292"/>
      <c r="K81" s="2292"/>
      <c r="L81" s="2292"/>
      <c r="M81" s="214"/>
      <c r="N81" s="259"/>
    </row>
    <row r="82" spans="1:16" ht="33.75" customHeight="1">
      <c r="A82" s="1692"/>
      <c r="B82" s="1692"/>
      <c r="D82" s="304"/>
      <c r="E82" s="332"/>
      <c r="F82" s="119" t="s">
        <v>274</v>
      </c>
      <c r="G82" s="119" t="s">
        <v>274</v>
      </c>
      <c r="H82" s="2112" t="s">
        <v>274</v>
      </c>
      <c r="I82" s="2126"/>
      <c r="J82" s="119" t="s">
        <v>274</v>
      </c>
      <c r="K82" s="119" t="s">
        <v>274</v>
      </c>
      <c r="L82" s="334"/>
      <c r="M82" s="269" t="s">
        <v>1029</v>
      </c>
      <c r="N82" s="259"/>
    </row>
    <row r="83" spans="1:16" ht="18.75" customHeight="1">
      <c r="A83" s="1692"/>
      <c r="B83" s="1692"/>
      <c r="D83" s="304"/>
      <c r="E83" s="71" t="s">
        <v>75</v>
      </c>
      <c r="F83" s="2292" t="s">
        <v>1030</v>
      </c>
      <c r="G83" s="2292"/>
      <c r="H83" s="2292"/>
      <c r="I83" s="2292"/>
      <c r="J83" s="2292"/>
      <c r="K83" s="2292"/>
      <c r="L83" s="2292"/>
      <c r="M83" s="214"/>
      <c r="N83" s="259"/>
    </row>
    <row r="84" spans="1:16" s="1859" customFormat="1" ht="60.75" hidden="1" customHeight="1">
      <c r="A84" s="1692" t="s">
        <v>137</v>
      </c>
      <c r="B84" s="1692" t="s">
        <v>138</v>
      </c>
      <c r="C84" s="296"/>
      <c r="D84" s="2298"/>
      <c r="E84" s="2101"/>
      <c r="F84" s="2231"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265" t="str">
        <f>INDEX(PT_DIFFERENTIATION_NTAR,MATCH(B84,PT_DIFFERENTIATION_NTAR_ID,0))</f>
        <v/>
      </c>
      <c r="H84" s="1774"/>
      <c r="I84" s="1651"/>
      <c r="J84" s="1685"/>
      <c r="K84" s="1690"/>
      <c r="L84" s="1774" t="s">
        <v>274</v>
      </c>
      <c r="M84" s="206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259"/>
      <c r="O84" s="1538"/>
      <c r="P84" s="1538"/>
    </row>
    <row r="85" spans="1:16" s="1859" customFormat="1" ht="18.75" hidden="1" customHeight="1">
      <c r="A85" s="1692"/>
      <c r="B85" s="1692"/>
      <c r="C85" s="296" t="s">
        <v>1024</v>
      </c>
      <c r="D85" s="2298"/>
      <c r="E85" s="2101"/>
      <c r="F85" s="2231"/>
      <c r="G85" s="2265"/>
      <c r="H85" s="1412"/>
      <c r="I85" s="571" t="s">
        <v>1023</v>
      </c>
      <c r="J85" s="495"/>
      <c r="K85" s="1412"/>
      <c r="L85" s="135"/>
      <c r="M85" s="2064"/>
      <c r="N85" s="259"/>
      <c r="O85" s="1538"/>
      <c r="P85" s="1538"/>
    </row>
    <row r="86" spans="1:16" s="1859" customFormat="1" ht="0.75" hidden="1" customHeight="1">
      <c r="A86" s="1692"/>
      <c r="B86" s="1692"/>
      <c r="C86" s="296" t="s">
        <v>1031</v>
      </c>
      <c r="D86" s="2298"/>
      <c r="E86" s="2101"/>
      <c r="F86" s="2231"/>
      <c r="G86" s="333"/>
      <c r="H86" s="1412"/>
      <c r="I86" s="571"/>
      <c r="J86" s="495"/>
      <c r="K86" s="1412"/>
      <c r="L86" s="135"/>
      <c r="M86" s="2064"/>
      <c r="N86" s="259"/>
      <c r="O86" s="1538"/>
      <c r="P86" s="1538"/>
    </row>
    <row r="87" spans="1:16" s="1859" customFormat="1" ht="45" hidden="1" customHeight="1">
      <c r="A87" s="1692" t="s">
        <v>143</v>
      </c>
      <c r="B87" s="1692" t="s">
        <v>144</v>
      </c>
      <c r="C87" s="296"/>
      <c r="D87" s="2298"/>
      <c r="E87" s="2101"/>
      <c r="F87" s="2231"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265" t="str">
        <f>INDEX(PT_DIFFERENTIATION_NTAR,MATCH(B87,PT_DIFFERENTIATION_NTAR_ID,0))</f>
        <v/>
      </c>
      <c r="H87" s="1774"/>
      <c r="I87" s="1651"/>
      <c r="J87" s="1685"/>
      <c r="K87" s="1690"/>
      <c r="L87" s="1774" t="s">
        <v>274</v>
      </c>
      <c r="M87" s="2065"/>
      <c r="N87" s="259"/>
      <c r="O87" s="1538"/>
      <c r="P87" s="1538"/>
    </row>
    <row r="88" spans="1:16" s="1859" customFormat="1" ht="18.75" hidden="1" customHeight="1">
      <c r="A88" s="1692"/>
      <c r="B88" s="1692"/>
      <c r="C88" s="296" t="s">
        <v>1024</v>
      </c>
      <c r="D88" s="2298"/>
      <c r="E88" s="2101"/>
      <c r="F88" s="2231"/>
      <c r="G88" s="2265"/>
      <c r="H88" s="1412"/>
      <c r="I88" s="571" t="s">
        <v>1023</v>
      </c>
      <c r="J88" s="495"/>
      <c r="K88" s="1412"/>
      <c r="L88" s="135"/>
      <c r="M88" s="1773"/>
      <c r="N88" s="259"/>
      <c r="O88" s="1538"/>
      <c r="P88" s="1538"/>
    </row>
    <row r="89" spans="1:16" s="1859" customFormat="1" ht="0.75" hidden="1" customHeight="1">
      <c r="A89" s="1692"/>
      <c r="B89" s="1692"/>
      <c r="C89" s="296" t="s">
        <v>1031</v>
      </c>
      <c r="D89" s="2298"/>
      <c r="E89" s="2101"/>
      <c r="F89" s="2231"/>
      <c r="G89" s="333"/>
      <c r="H89" s="1412"/>
      <c r="I89" s="571"/>
      <c r="J89" s="495"/>
      <c r="K89" s="1412"/>
      <c r="L89" s="135"/>
      <c r="M89" s="266"/>
      <c r="N89" s="259"/>
      <c r="O89" s="1538"/>
      <c r="P89" s="1538"/>
    </row>
    <row r="90" spans="1:16" s="1859" customFormat="1" ht="45" hidden="1" customHeight="1">
      <c r="A90" s="1692" t="s">
        <v>149</v>
      </c>
      <c r="B90" s="1692" t="s">
        <v>150</v>
      </c>
      <c r="C90" s="296"/>
      <c r="D90" s="2298"/>
      <c r="E90" s="2101"/>
      <c r="F90" s="2231"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265" t="str">
        <f>INDEX(PT_DIFFERENTIATION_NTAR,MATCH(B90,PT_DIFFERENTIATION_NTAR_ID,0))</f>
        <v/>
      </c>
      <c r="H90" s="1774"/>
      <c r="I90" s="1651"/>
      <c r="J90" s="1685"/>
      <c r="K90" s="1690"/>
      <c r="L90" s="1774" t="s">
        <v>274</v>
      </c>
      <c r="M90" s="266"/>
      <c r="N90" s="259"/>
      <c r="O90" s="1538"/>
      <c r="P90" s="1538"/>
    </row>
    <row r="91" spans="1:16" s="1859" customFormat="1" ht="18.75" hidden="1" customHeight="1">
      <c r="A91" s="1692"/>
      <c r="B91" s="1692"/>
      <c r="C91" s="296" t="s">
        <v>1024</v>
      </c>
      <c r="D91" s="2298"/>
      <c r="E91" s="2101"/>
      <c r="F91" s="2231"/>
      <c r="G91" s="2265"/>
      <c r="H91" s="1412"/>
      <c r="I91" s="571" t="s">
        <v>1023</v>
      </c>
      <c r="J91" s="495"/>
      <c r="K91" s="1412"/>
      <c r="L91" s="135"/>
      <c r="M91" s="266"/>
      <c r="N91" s="259"/>
      <c r="O91" s="1538"/>
      <c r="P91" s="1538"/>
    </row>
    <row r="92" spans="1:16" s="1859" customFormat="1" ht="0.75" hidden="1" customHeight="1">
      <c r="A92" s="1692"/>
      <c r="B92" s="1692"/>
      <c r="C92" s="296" t="s">
        <v>1031</v>
      </c>
      <c r="D92" s="2298"/>
      <c r="E92" s="2101"/>
      <c r="F92" s="2231"/>
      <c r="G92" s="333"/>
      <c r="H92" s="1412"/>
      <c r="I92" s="571"/>
      <c r="J92" s="495"/>
      <c r="K92" s="1412"/>
      <c r="L92" s="135"/>
      <c r="M92" s="266"/>
      <c r="N92" s="259"/>
      <c r="O92" s="1538"/>
      <c r="P92" s="1538"/>
    </row>
    <row r="93" spans="1:16" s="1859" customFormat="1" ht="45" hidden="1" customHeight="1">
      <c r="A93" s="1692" t="s">
        <v>155</v>
      </c>
      <c r="B93" s="1692" t="s">
        <v>156</v>
      </c>
      <c r="C93" s="296"/>
      <c r="D93" s="2298"/>
      <c r="E93" s="2101"/>
      <c r="F93" s="2231"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265" t="str">
        <f>INDEX(PT_DIFFERENTIATION_NTAR,MATCH(B93,PT_DIFFERENTIATION_NTAR_ID,0))</f>
        <v/>
      </c>
      <c r="H93" s="1774"/>
      <c r="I93" s="1651"/>
      <c r="J93" s="1685"/>
      <c r="K93" s="1690"/>
      <c r="L93" s="1774" t="s">
        <v>274</v>
      </c>
      <c r="M93" s="266"/>
      <c r="N93" s="259"/>
      <c r="O93" s="1538"/>
      <c r="P93" s="1538"/>
    </row>
    <row r="94" spans="1:16" s="1859" customFormat="1" ht="18.75" hidden="1" customHeight="1">
      <c r="A94" s="1692"/>
      <c r="B94" s="1692"/>
      <c r="C94" s="296" t="s">
        <v>1024</v>
      </c>
      <c r="D94" s="2298"/>
      <c r="E94" s="2101"/>
      <c r="F94" s="2231"/>
      <c r="G94" s="2265"/>
      <c r="H94" s="1412"/>
      <c r="I94" s="571" t="s">
        <v>1023</v>
      </c>
      <c r="J94" s="495"/>
      <c r="K94" s="1412"/>
      <c r="L94" s="135"/>
      <c r="M94" s="266"/>
      <c r="N94" s="259"/>
      <c r="O94" s="1538"/>
      <c r="P94" s="1538"/>
    </row>
    <row r="95" spans="1:16" s="1859" customFormat="1" ht="0.75" hidden="1" customHeight="1">
      <c r="A95" s="1692"/>
      <c r="B95" s="1692"/>
      <c r="C95" s="296" t="s">
        <v>1031</v>
      </c>
      <c r="D95" s="2298"/>
      <c r="E95" s="2101"/>
      <c r="F95" s="2231"/>
      <c r="G95" s="333"/>
      <c r="H95" s="1412"/>
      <c r="I95" s="571"/>
      <c r="J95" s="495"/>
      <c r="K95" s="1412"/>
      <c r="L95" s="135"/>
      <c r="M95" s="266"/>
      <c r="N95" s="259"/>
      <c r="O95" s="1538"/>
      <c r="P95" s="1538"/>
    </row>
    <row r="96" spans="1:16" s="1859" customFormat="1" ht="18.75" hidden="1" customHeight="1">
      <c r="A96" s="1692" t="s">
        <v>161</v>
      </c>
      <c r="B96" s="1692" t="s">
        <v>162</v>
      </c>
      <c r="C96" s="296"/>
      <c r="D96" s="2298"/>
      <c r="E96" s="2101"/>
      <c r="F96" s="2231" t="str">
        <f>INDEX(PT_DIFFERENTIATION_VTAR,MATCH(A96,PT_DIFFERENTIATION_VTAR_ID,0))</f>
        <v>Тарифы на услуги по передаче тепловой энергии</v>
      </c>
      <c r="G96" s="2265" t="str">
        <f>INDEX(PT_DIFFERENTIATION_NTAR,MATCH(B96,PT_DIFFERENTIATION_NTAR_ID,0))</f>
        <v/>
      </c>
      <c r="H96" s="1774"/>
      <c r="I96" s="1651"/>
      <c r="J96" s="1685"/>
      <c r="K96" s="1690"/>
      <c r="L96" s="1774" t="s">
        <v>274</v>
      </c>
      <c r="M96" s="266"/>
      <c r="N96" s="259"/>
      <c r="O96" s="1538"/>
      <c r="P96" s="1538"/>
    </row>
    <row r="97" spans="1:16" s="1859" customFormat="1" ht="18.75" hidden="1" customHeight="1">
      <c r="A97" s="1692"/>
      <c r="B97" s="1692"/>
      <c r="C97" s="296" t="s">
        <v>1024</v>
      </c>
      <c r="D97" s="2298"/>
      <c r="E97" s="2101"/>
      <c r="F97" s="2231"/>
      <c r="G97" s="2265"/>
      <c r="H97" s="1412"/>
      <c r="I97" s="571" t="s">
        <v>1023</v>
      </c>
      <c r="J97" s="495"/>
      <c r="K97" s="1412"/>
      <c r="L97" s="135"/>
      <c r="M97" s="266"/>
      <c r="N97" s="259"/>
      <c r="O97" s="1538"/>
      <c r="P97" s="1538"/>
    </row>
    <row r="98" spans="1:16" s="1859" customFormat="1" ht="0.75" hidden="1" customHeight="1">
      <c r="A98" s="1692"/>
      <c r="B98" s="1692"/>
      <c r="C98" s="296" t="s">
        <v>1031</v>
      </c>
      <c r="D98" s="2298"/>
      <c r="E98" s="2101"/>
      <c r="F98" s="2231"/>
      <c r="G98" s="333"/>
      <c r="H98" s="1412"/>
      <c r="I98" s="571"/>
      <c r="J98" s="495"/>
      <c r="K98" s="1412"/>
      <c r="L98" s="135"/>
      <c r="M98" s="266"/>
      <c r="N98" s="259"/>
      <c r="O98" s="1538"/>
      <c r="P98" s="1538"/>
    </row>
    <row r="99" spans="1:16" s="1859" customFormat="1" ht="18.75" hidden="1" customHeight="1">
      <c r="A99" s="1692" t="s">
        <v>167</v>
      </c>
      <c r="B99" s="1692" t="s">
        <v>168</v>
      </c>
      <c r="C99" s="296"/>
      <c r="D99" s="2298"/>
      <c r="E99" s="2101"/>
      <c r="F99" s="2231" t="str">
        <f>INDEX(PT_DIFFERENTIATION_VTAR,MATCH(A99,PT_DIFFERENTIATION_VTAR_ID,0))</f>
        <v>Тарифы на услуги по передаче теплоносителя</v>
      </c>
      <c r="G99" s="2265" t="str">
        <f>INDEX(PT_DIFFERENTIATION_NTAR,MATCH(B99,PT_DIFFERENTIATION_NTAR_ID,0))</f>
        <v/>
      </c>
      <c r="H99" s="1774"/>
      <c r="I99" s="1651"/>
      <c r="J99" s="1685"/>
      <c r="K99" s="1690"/>
      <c r="L99" s="1774" t="s">
        <v>274</v>
      </c>
      <c r="M99" s="266"/>
      <c r="N99" s="259"/>
      <c r="O99" s="1538"/>
      <c r="P99" s="1538"/>
    </row>
    <row r="100" spans="1:16" s="1859" customFormat="1" ht="18.75" hidden="1" customHeight="1">
      <c r="A100" s="1692"/>
      <c r="B100" s="1692"/>
      <c r="C100" s="296" t="s">
        <v>1024</v>
      </c>
      <c r="D100" s="2298"/>
      <c r="E100" s="2101"/>
      <c r="F100" s="2231"/>
      <c r="G100" s="2265"/>
      <c r="H100" s="1412"/>
      <c r="I100" s="571" t="s">
        <v>1023</v>
      </c>
      <c r="J100" s="495"/>
      <c r="K100" s="1412"/>
      <c r="L100" s="135"/>
      <c r="M100" s="266"/>
      <c r="N100" s="259"/>
      <c r="O100" s="1538"/>
      <c r="P100" s="1538"/>
    </row>
    <row r="101" spans="1:16" s="1859" customFormat="1" ht="0.75" hidden="1" customHeight="1">
      <c r="A101" s="1692"/>
      <c r="B101" s="1692"/>
      <c r="C101" s="296" t="s">
        <v>1031</v>
      </c>
      <c r="D101" s="2298"/>
      <c r="E101" s="2101"/>
      <c r="F101" s="2231"/>
      <c r="G101" s="333"/>
      <c r="H101" s="1412"/>
      <c r="I101" s="571"/>
      <c r="J101" s="495"/>
      <c r="K101" s="1412"/>
      <c r="L101" s="135"/>
      <c r="M101" s="266"/>
      <c r="N101" s="259"/>
      <c r="O101" s="1538"/>
      <c r="P101" s="1538"/>
    </row>
    <row r="102" spans="1:16" s="1859" customFormat="1" ht="18.75" hidden="1" customHeight="1">
      <c r="A102" s="1692" t="s">
        <v>173</v>
      </c>
      <c r="B102" s="1692" t="s">
        <v>174</v>
      </c>
      <c r="C102" s="296"/>
      <c r="D102" s="2298"/>
      <c r="E102" s="2101"/>
      <c r="F102" s="2231"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265" t="str">
        <f>INDEX(PT_DIFFERENTIATION_NTAR,MATCH(B102,PT_DIFFERENTIATION_NTAR_ID,0))</f>
        <v/>
      </c>
      <c r="H102" s="1774"/>
      <c r="I102" s="1651"/>
      <c r="J102" s="1685"/>
      <c r="K102" s="1690"/>
      <c r="L102" s="1774" t="s">
        <v>274</v>
      </c>
      <c r="M102" s="266"/>
      <c r="N102" s="259"/>
      <c r="O102" s="1538"/>
      <c r="P102" s="1538"/>
    </row>
    <row r="103" spans="1:16" s="1859" customFormat="1" ht="18.75" hidden="1" customHeight="1">
      <c r="A103" s="1692"/>
      <c r="B103" s="1692"/>
      <c r="C103" s="296" t="s">
        <v>1024</v>
      </c>
      <c r="D103" s="2298"/>
      <c r="E103" s="2101"/>
      <c r="F103" s="2231"/>
      <c r="G103" s="2265"/>
      <c r="H103" s="1412"/>
      <c r="I103" s="571" t="s">
        <v>1023</v>
      </c>
      <c r="J103" s="495"/>
      <c r="K103" s="1412"/>
      <c r="L103" s="135"/>
      <c r="M103" s="266"/>
      <c r="N103" s="259"/>
      <c r="O103" s="1538"/>
      <c r="P103" s="1538"/>
    </row>
    <row r="104" spans="1:16" s="1859" customFormat="1" ht="0.75" hidden="1" customHeight="1">
      <c r="A104" s="1692"/>
      <c r="B104" s="1692"/>
      <c r="C104" s="296" t="s">
        <v>1031</v>
      </c>
      <c r="D104" s="2298"/>
      <c r="E104" s="2101"/>
      <c r="F104" s="2231"/>
      <c r="G104" s="333"/>
      <c r="H104" s="1412"/>
      <c r="I104" s="571"/>
      <c r="J104" s="495"/>
      <c r="K104" s="1412"/>
      <c r="L104" s="135"/>
      <c r="M104" s="266"/>
      <c r="N104" s="259"/>
      <c r="O104" s="1538"/>
      <c r="P104" s="1538"/>
    </row>
    <row r="105" spans="1:16" s="1859" customFormat="1" ht="18.75" hidden="1" customHeight="1">
      <c r="A105" s="1692" t="s">
        <v>179</v>
      </c>
      <c r="B105" s="1692" t="s">
        <v>180</v>
      </c>
      <c r="C105" s="296"/>
      <c r="D105" s="2298"/>
      <c r="E105" s="2101"/>
      <c r="F105" s="2231" t="str">
        <f>INDEX(PT_DIFFERENTIATION_VTAR,MATCH(A105,PT_DIFFERENTIATION_VTAR_ID,0))</f>
        <v>Плата за подключение (технологическое присоединение) к системе теплоснабжения</v>
      </c>
      <c r="G105" s="2265" t="str">
        <f>INDEX(PT_DIFFERENTIATION_NTAR,MATCH(B105,PT_DIFFERENTIATION_NTAR_ID,0))</f>
        <v/>
      </c>
      <c r="H105" s="1774"/>
      <c r="I105" s="1651"/>
      <c r="J105" s="1685"/>
      <c r="K105" s="1690"/>
      <c r="L105" s="1774" t="s">
        <v>274</v>
      </c>
      <c r="M105" s="266"/>
      <c r="N105" s="259"/>
      <c r="O105" s="1538"/>
      <c r="P105" s="1538"/>
    </row>
    <row r="106" spans="1:16" s="1859" customFormat="1" ht="18.75" hidden="1" customHeight="1">
      <c r="A106" s="1692"/>
      <c r="B106" s="1692"/>
      <c r="C106" s="296" t="s">
        <v>1024</v>
      </c>
      <c r="D106" s="2298"/>
      <c r="E106" s="2101"/>
      <c r="F106" s="2231"/>
      <c r="G106" s="2265"/>
      <c r="H106" s="1412"/>
      <c r="I106" s="571" t="s">
        <v>1023</v>
      </c>
      <c r="J106" s="495"/>
      <c r="K106" s="1412"/>
      <c r="L106" s="135"/>
      <c r="M106" s="266"/>
      <c r="N106" s="259"/>
      <c r="O106" s="1538"/>
      <c r="P106" s="1538"/>
    </row>
    <row r="107" spans="1:16" s="1859" customFormat="1" ht="0.75" hidden="1" customHeight="1">
      <c r="A107" s="1692"/>
      <c r="B107" s="1692"/>
      <c r="C107" s="296" t="s">
        <v>1031</v>
      </c>
      <c r="D107" s="2298"/>
      <c r="E107" s="2101"/>
      <c r="F107" s="2231"/>
      <c r="G107" s="333"/>
      <c r="H107" s="1412"/>
      <c r="I107" s="571"/>
      <c r="J107" s="495"/>
      <c r="K107" s="1412"/>
      <c r="L107" s="135"/>
      <c r="M107" s="266"/>
      <c r="N107" s="259"/>
      <c r="O107" s="1538"/>
      <c r="P107" s="1538"/>
    </row>
    <row r="108" spans="1:16" s="1859" customFormat="1" ht="18.75" hidden="1" customHeight="1">
      <c r="A108" s="1692" t="s">
        <v>193</v>
      </c>
      <c r="B108" s="1692" t="s">
        <v>194</v>
      </c>
      <c r="C108" s="296"/>
      <c r="D108" s="2298"/>
      <c r="E108" s="2101"/>
      <c r="F108" s="2231" t="str">
        <f>INDEX(PT_DIFFERENTIATION_VTAR,MATCH(A108,PT_DIFFERENTIATION_VTAR_ID,0))</f>
        <v>Тариф на питьевую воду (питьевое водоснабжение)</v>
      </c>
      <c r="G108" s="2265" t="str">
        <f>INDEX(PT_DIFFERENTIATION_NTAR,MATCH(B108,PT_DIFFERENTIATION_NTAR_ID,0))</f>
        <v/>
      </c>
      <c r="H108" s="1774"/>
      <c r="I108" s="1651"/>
      <c r="J108" s="1685"/>
      <c r="K108" s="1690"/>
      <c r="L108" s="1774" t="s">
        <v>274</v>
      </c>
      <c r="M108" s="266"/>
      <c r="N108" s="259"/>
      <c r="O108" s="1538"/>
      <c r="P108" s="1538"/>
    </row>
    <row r="109" spans="1:16" s="1859" customFormat="1" ht="18.75" hidden="1" customHeight="1">
      <c r="A109" s="1692"/>
      <c r="B109" s="1692"/>
      <c r="C109" s="296" t="s">
        <v>1024</v>
      </c>
      <c r="D109" s="2298"/>
      <c r="E109" s="2101"/>
      <c r="F109" s="2231"/>
      <c r="G109" s="2265"/>
      <c r="H109" s="1412"/>
      <c r="I109" s="571" t="s">
        <v>1023</v>
      </c>
      <c r="J109" s="495"/>
      <c r="K109" s="1412"/>
      <c r="L109" s="135"/>
      <c r="M109" s="266"/>
      <c r="N109" s="259"/>
      <c r="O109" s="1538"/>
      <c r="P109" s="1538"/>
    </row>
    <row r="110" spans="1:16" s="1859" customFormat="1" ht="0.75" hidden="1" customHeight="1">
      <c r="A110" s="1692"/>
      <c r="B110" s="1692"/>
      <c r="C110" s="296" t="s">
        <v>1031</v>
      </c>
      <c r="D110" s="2298"/>
      <c r="E110" s="2101"/>
      <c r="F110" s="2231"/>
      <c r="G110" s="333"/>
      <c r="H110" s="1412"/>
      <c r="I110" s="571"/>
      <c r="J110" s="495"/>
      <c r="K110" s="1412"/>
      <c r="L110" s="135"/>
      <c r="M110" s="266"/>
      <c r="N110" s="259"/>
      <c r="O110" s="1538"/>
      <c r="P110" s="1538"/>
    </row>
    <row r="111" spans="1:16" s="1859" customFormat="1" ht="18.75" hidden="1" customHeight="1">
      <c r="A111" s="1692" t="s">
        <v>198</v>
      </c>
      <c r="B111" s="1692" t="s">
        <v>199</v>
      </c>
      <c r="C111" s="296"/>
      <c r="D111" s="2298"/>
      <c r="E111" s="2101"/>
      <c r="F111" s="2231" t="str">
        <f>INDEX(PT_DIFFERENTIATION_VTAR,MATCH(A111,PT_DIFFERENTIATION_VTAR_ID,0))</f>
        <v>Тариф на техническую воду</v>
      </c>
      <c r="G111" s="2265" t="str">
        <f>INDEX(PT_DIFFERENTIATION_NTAR,MATCH(B111,PT_DIFFERENTIATION_NTAR_ID,0))</f>
        <v/>
      </c>
      <c r="H111" s="1774"/>
      <c r="I111" s="1651"/>
      <c r="J111" s="1685"/>
      <c r="K111" s="1690"/>
      <c r="L111" s="1774" t="s">
        <v>274</v>
      </c>
      <c r="M111" s="266"/>
      <c r="N111" s="259"/>
      <c r="O111" s="1538"/>
      <c r="P111" s="1538"/>
    </row>
    <row r="112" spans="1:16" s="1859" customFormat="1" ht="18.75" hidden="1" customHeight="1">
      <c r="A112" s="1692"/>
      <c r="B112" s="1692"/>
      <c r="C112" s="296" t="s">
        <v>1024</v>
      </c>
      <c r="D112" s="2298"/>
      <c r="E112" s="2101"/>
      <c r="F112" s="2231"/>
      <c r="G112" s="2265"/>
      <c r="H112" s="1412"/>
      <c r="I112" s="571" t="s">
        <v>1023</v>
      </c>
      <c r="J112" s="495"/>
      <c r="K112" s="1412"/>
      <c r="L112" s="135"/>
      <c r="M112" s="266"/>
      <c r="N112" s="259"/>
      <c r="O112" s="1538"/>
      <c r="P112" s="1538"/>
    </row>
    <row r="113" spans="1:16" s="1859" customFormat="1" ht="0.75" hidden="1" customHeight="1">
      <c r="A113" s="1692"/>
      <c r="B113" s="1692"/>
      <c r="C113" s="296" t="s">
        <v>1031</v>
      </c>
      <c r="D113" s="2298"/>
      <c r="E113" s="2101"/>
      <c r="F113" s="2231"/>
      <c r="G113" s="333"/>
      <c r="H113" s="1412"/>
      <c r="I113" s="571"/>
      <c r="J113" s="495"/>
      <c r="K113" s="1412"/>
      <c r="L113" s="135"/>
      <c r="M113" s="266"/>
      <c r="N113" s="259"/>
      <c r="O113" s="1538"/>
      <c r="P113" s="1538"/>
    </row>
    <row r="114" spans="1:16" s="1859" customFormat="1" ht="18.75" hidden="1" customHeight="1">
      <c r="A114" s="1692" t="s">
        <v>203</v>
      </c>
      <c r="B114" s="1692" t="s">
        <v>204</v>
      </c>
      <c r="C114" s="296"/>
      <c r="D114" s="2298"/>
      <c r="E114" s="2101"/>
      <c r="F114" s="2231" t="str">
        <f>INDEX(PT_DIFFERENTIATION_VTAR,MATCH(A114,PT_DIFFERENTIATION_VTAR_ID,0))</f>
        <v>Тариф на транспортировку воды</v>
      </c>
      <c r="G114" s="2265" t="str">
        <f>INDEX(PT_DIFFERENTIATION_NTAR,MATCH(B114,PT_DIFFERENTIATION_NTAR_ID,0))</f>
        <v/>
      </c>
      <c r="H114" s="1774"/>
      <c r="I114" s="1651"/>
      <c r="J114" s="1685"/>
      <c r="K114" s="1690"/>
      <c r="L114" s="1774" t="s">
        <v>274</v>
      </c>
      <c r="M114" s="266"/>
      <c r="N114" s="259"/>
      <c r="O114" s="1538"/>
      <c r="P114" s="1538"/>
    </row>
    <row r="115" spans="1:16" s="1859" customFormat="1" ht="18.75" hidden="1" customHeight="1">
      <c r="A115" s="1692"/>
      <c r="B115" s="1692"/>
      <c r="C115" s="296" t="s">
        <v>1024</v>
      </c>
      <c r="D115" s="2298"/>
      <c r="E115" s="2101"/>
      <c r="F115" s="2231"/>
      <c r="G115" s="2265"/>
      <c r="H115" s="1412"/>
      <c r="I115" s="571" t="s">
        <v>1023</v>
      </c>
      <c r="J115" s="495"/>
      <c r="K115" s="1412"/>
      <c r="L115" s="135"/>
      <c r="M115" s="266"/>
      <c r="N115" s="259"/>
      <c r="O115" s="1538"/>
      <c r="P115" s="1538"/>
    </row>
    <row r="116" spans="1:16" s="1859" customFormat="1" ht="0.75" hidden="1" customHeight="1">
      <c r="A116" s="1692"/>
      <c r="B116" s="1692"/>
      <c r="C116" s="296" t="s">
        <v>1031</v>
      </c>
      <c r="D116" s="2298"/>
      <c r="E116" s="2101"/>
      <c r="F116" s="2231"/>
      <c r="G116" s="333"/>
      <c r="H116" s="1412"/>
      <c r="I116" s="571"/>
      <c r="J116" s="495"/>
      <c r="K116" s="1412"/>
      <c r="L116" s="135"/>
      <c r="M116" s="266"/>
      <c r="N116" s="259"/>
      <c r="O116" s="1538"/>
      <c r="P116" s="1538"/>
    </row>
    <row r="117" spans="1:16" s="1859" customFormat="1" ht="18.75" hidden="1" customHeight="1">
      <c r="A117" s="1692" t="s">
        <v>208</v>
      </c>
      <c r="B117" s="1692" t="s">
        <v>209</v>
      </c>
      <c r="C117" s="296"/>
      <c r="D117" s="2298"/>
      <c r="E117" s="2101"/>
      <c r="F117" s="2231" t="str">
        <f>INDEX(PT_DIFFERENTIATION_VTAR,MATCH(A117,PT_DIFFERENTIATION_VTAR_ID,0))</f>
        <v>Тариф на подвоз воды</v>
      </c>
      <c r="G117" s="2265" t="str">
        <f>INDEX(PT_DIFFERENTIATION_NTAR,MATCH(B117,PT_DIFFERENTIATION_NTAR_ID,0))</f>
        <v/>
      </c>
      <c r="H117" s="1774"/>
      <c r="I117" s="1651"/>
      <c r="J117" s="1685"/>
      <c r="K117" s="1690"/>
      <c r="L117" s="1774" t="s">
        <v>274</v>
      </c>
      <c r="M117" s="266"/>
      <c r="N117" s="259"/>
      <c r="O117" s="1538"/>
      <c r="P117" s="1538"/>
    </row>
    <row r="118" spans="1:16" s="1859" customFormat="1" ht="18.75" hidden="1" customHeight="1">
      <c r="A118" s="1692"/>
      <c r="B118" s="1692"/>
      <c r="C118" s="296" t="s">
        <v>1024</v>
      </c>
      <c r="D118" s="2298"/>
      <c r="E118" s="2101"/>
      <c r="F118" s="2231"/>
      <c r="G118" s="2265"/>
      <c r="H118" s="1412"/>
      <c r="I118" s="571" t="s">
        <v>1023</v>
      </c>
      <c r="J118" s="495"/>
      <c r="K118" s="1412"/>
      <c r="L118" s="135"/>
      <c r="M118" s="266"/>
      <c r="N118" s="259"/>
      <c r="O118" s="1538"/>
      <c r="P118" s="1538"/>
    </row>
    <row r="119" spans="1:16" s="1859" customFormat="1" ht="0.75" hidden="1" customHeight="1">
      <c r="A119" s="1692"/>
      <c r="B119" s="1692"/>
      <c r="C119" s="296" t="s">
        <v>1031</v>
      </c>
      <c r="D119" s="2298"/>
      <c r="E119" s="2101"/>
      <c r="F119" s="2231"/>
      <c r="G119" s="333"/>
      <c r="H119" s="1412"/>
      <c r="I119" s="571"/>
      <c r="J119" s="495"/>
      <c r="K119" s="1412"/>
      <c r="L119" s="135"/>
      <c r="M119" s="266"/>
      <c r="N119" s="259"/>
      <c r="O119" s="1538"/>
      <c r="P119" s="1538"/>
    </row>
    <row r="120" spans="1:16" s="1859" customFormat="1" ht="18.75" hidden="1" customHeight="1">
      <c r="A120" s="1692" t="s">
        <v>213</v>
      </c>
      <c r="B120" s="1692" t="s">
        <v>214</v>
      </c>
      <c r="C120" s="296"/>
      <c r="D120" s="2298"/>
      <c r="E120" s="2101"/>
      <c r="F120" s="2231" t="str">
        <f>INDEX(PT_DIFFERENTIATION_VTAR,MATCH(A120,PT_DIFFERENTIATION_VTAR_ID,0))</f>
        <v>Тариф на подключение (технологическое присоединение) к централизованной системе холодного водоснабжения</v>
      </c>
      <c r="G120" s="2265" t="str">
        <f>INDEX(PT_DIFFERENTIATION_NTAR,MATCH(B120,PT_DIFFERENTIATION_NTAR_ID,0))</f>
        <v/>
      </c>
      <c r="H120" s="1774"/>
      <c r="I120" s="1651"/>
      <c r="J120" s="1685"/>
      <c r="K120" s="1690"/>
      <c r="L120" s="1774" t="s">
        <v>274</v>
      </c>
      <c r="M120" s="266"/>
      <c r="N120" s="259"/>
      <c r="O120" s="1538"/>
      <c r="P120" s="1538"/>
    </row>
    <row r="121" spans="1:16" s="1859" customFormat="1" ht="18.75" hidden="1" customHeight="1">
      <c r="A121" s="1692"/>
      <c r="B121" s="1692"/>
      <c r="C121" s="296" t="s">
        <v>1024</v>
      </c>
      <c r="D121" s="2298"/>
      <c r="E121" s="2101"/>
      <c r="F121" s="2231"/>
      <c r="G121" s="2265"/>
      <c r="H121" s="1412"/>
      <c r="I121" s="571" t="s">
        <v>1023</v>
      </c>
      <c r="J121" s="495"/>
      <c r="K121" s="1412"/>
      <c r="L121" s="135"/>
      <c r="M121" s="266"/>
      <c r="N121" s="259"/>
      <c r="O121" s="1538"/>
      <c r="P121" s="1538"/>
    </row>
    <row r="122" spans="1:16" s="1859" customFormat="1" ht="0.75" hidden="1" customHeight="1">
      <c r="A122" s="1692"/>
      <c r="B122" s="1692"/>
      <c r="C122" s="296" t="s">
        <v>1031</v>
      </c>
      <c r="D122" s="2298"/>
      <c r="E122" s="2101"/>
      <c r="F122" s="2231"/>
      <c r="G122" s="333"/>
      <c r="H122" s="1412"/>
      <c r="I122" s="571"/>
      <c r="J122" s="495"/>
      <c r="K122" s="1412"/>
      <c r="L122" s="135"/>
      <c r="M122" s="266"/>
      <c r="N122" s="259"/>
      <c r="O122" s="1538"/>
      <c r="P122" s="1538"/>
    </row>
    <row r="123" spans="1:16" s="1859" customFormat="1" ht="18.75" hidden="1" customHeight="1">
      <c r="A123" s="1692" t="s">
        <v>218</v>
      </c>
      <c r="B123" s="1692" t="s">
        <v>219</v>
      </c>
      <c r="C123" s="296"/>
      <c r="D123" s="2298"/>
      <c r="E123" s="2101"/>
      <c r="F123" s="2231" t="str">
        <f>INDEX(PT_DIFFERENTIATION_VTAR,MATCH(A123,PT_DIFFERENTIATION_VTAR_ID,0))</f>
        <v>Тариф на горячую воду (горячее водоснабжение)</v>
      </c>
      <c r="G123" s="2265" t="str">
        <f>INDEX(PT_DIFFERENTIATION_NTAR,MATCH(B123,PT_DIFFERENTIATION_NTAR_ID,0))</f>
        <v/>
      </c>
      <c r="H123" s="1774"/>
      <c r="I123" s="1651"/>
      <c r="J123" s="1685"/>
      <c r="K123" s="1690"/>
      <c r="L123" s="1774" t="s">
        <v>274</v>
      </c>
      <c r="M123" s="266"/>
      <c r="N123" s="259"/>
      <c r="O123" s="1538"/>
      <c r="P123" s="1538"/>
    </row>
    <row r="124" spans="1:16" s="1859" customFormat="1" ht="18.75" hidden="1" customHeight="1">
      <c r="A124" s="1692"/>
      <c r="B124" s="1692"/>
      <c r="C124" s="296" t="s">
        <v>1024</v>
      </c>
      <c r="D124" s="2298"/>
      <c r="E124" s="2101"/>
      <c r="F124" s="2231"/>
      <c r="G124" s="2265"/>
      <c r="H124" s="1412"/>
      <c r="I124" s="571" t="s">
        <v>1023</v>
      </c>
      <c r="J124" s="495"/>
      <c r="K124" s="1412"/>
      <c r="L124" s="135"/>
      <c r="M124" s="266"/>
      <c r="N124" s="259"/>
      <c r="O124" s="1538"/>
      <c r="P124" s="1538"/>
    </row>
    <row r="125" spans="1:16" s="1859" customFormat="1" ht="0.75" hidden="1" customHeight="1">
      <c r="A125" s="1692"/>
      <c r="B125" s="1692"/>
      <c r="C125" s="296" t="s">
        <v>1031</v>
      </c>
      <c r="D125" s="2298"/>
      <c r="E125" s="2101"/>
      <c r="F125" s="2231"/>
      <c r="G125" s="333"/>
      <c r="H125" s="1412"/>
      <c r="I125" s="571"/>
      <c r="J125" s="495"/>
      <c r="K125" s="1412"/>
      <c r="L125" s="135"/>
      <c r="M125" s="266"/>
      <c r="N125" s="259"/>
      <c r="O125" s="1538"/>
      <c r="P125" s="1538"/>
    </row>
    <row r="126" spans="1:16" s="1859" customFormat="1" ht="18.75" hidden="1" customHeight="1">
      <c r="A126" s="1692" t="s">
        <v>223</v>
      </c>
      <c r="B126" s="1692" t="s">
        <v>224</v>
      </c>
      <c r="C126" s="296"/>
      <c r="D126" s="2298"/>
      <c r="E126" s="2101"/>
      <c r="F126" s="2231" t="str">
        <f>INDEX(PT_DIFFERENTIATION_VTAR,MATCH(A126,PT_DIFFERENTIATION_VTAR_ID,0))</f>
        <v>Тариф на транспортировку горячей воды</v>
      </c>
      <c r="G126" s="2265" t="str">
        <f>INDEX(PT_DIFFERENTIATION_NTAR,MATCH(B126,PT_DIFFERENTIATION_NTAR_ID,0))</f>
        <v/>
      </c>
      <c r="H126" s="1774"/>
      <c r="I126" s="1651"/>
      <c r="J126" s="1685"/>
      <c r="K126" s="1690"/>
      <c r="L126" s="1774" t="s">
        <v>274</v>
      </c>
      <c r="M126" s="266"/>
      <c r="N126" s="259"/>
      <c r="O126" s="1538"/>
      <c r="P126" s="1538"/>
    </row>
    <row r="127" spans="1:16" s="1859" customFormat="1" ht="18.75" hidden="1" customHeight="1">
      <c r="A127" s="1692"/>
      <c r="B127" s="1692"/>
      <c r="C127" s="296" t="s">
        <v>1024</v>
      </c>
      <c r="D127" s="2298"/>
      <c r="E127" s="2101"/>
      <c r="F127" s="2231"/>
      <c r="G127" s="2265"/>
      <c r="H127" s="1412"/>
      <c r="I127" s="571" t="s">
        <v>1023</v>
      </c>
      <c r="J127" s="495"/>
      <c r="K127" s="1412"/>
      <c r="L127" s="135"/>
      <c r="M127" s="266"/>
      <c r="N127" s="259"/>
      <c r="O127" s="1538"/>
      <c r="P127" s="1538"/>
    </row>
    <row r="128" spans="1:16" s="1859" customFormat="1" ht="0.75" hidden="1" customHeight="1">
      <c r="A128" s="1692"/>
      <c r="B128" s="1692"/>
      <c r="C128" s="296" t="s">
        <v>1031</v>
      </c>
      <c r="D128" s="2298"/>
      <c r="E128" s="2101"/>
      <c r="F128" s="2231"/>
      <c r="G128" s="333"/>
      <c r="H128" s="1412"/>
      <c r="I128" s="571"/>
      <c r="J128" s="495"/>
      <c r="K128" s="1412"/>
      <c r="L128" s="135"/>
      <c r="M128" s="266"/>
      <c r="N128" s="259"/>
      <c r="O128" s="1538"/>
      <c r="P128" s="1538"/>
    </row>
    <row r="129" spans="1:16" s="1859" customFormat="1" ht="18.75" hidden="1" customHeight="1">
      <c r="A129" s="1692" t="s">
        <v>228</v>
      </c>
      <c r="B129" s="1692" t="s">
        <v>229</v>
      </c>
      <c r="C129" s="296"/>
      <c r="D129" s="2298"/>
      <c r="E129" s="2101"/>
      <c r="F129" s="2231" t="str">
        <f>INDEX(PT_DIFFERENTIATION_VTAR,MATCH(A129,PT_DIFFERENTIATION_VTAR_ID,0))</f>
        <v>Тариф на подключение (технологическое присоединение) к централизованной системе горячего водоснабжения</v>
      </c>
      <c r="G129" s="2265" t="str">
        <f>INDEX(PT_DIFFERENTIATION_NTAR,MATCH(B129,PT_DIFFERENTIATION_NTAR_ID,0))</f>
        <v/>
      </c>
      <c r="H129" s="1774"/>
      <c r="I129" s="1651"/>
      <c r="J129" s="1685"/>
      <c r="K129" s="1690"/>
      <c r="L129" s="1774" t="s">
        <v>274</v>
      </c>
      <c r="M129" s="266"/>
      <c r="N129" s="259"/>
      <c r="O129" s="1538"/>
      <c r="P129" s="1538"/>
    </row>
    <row r="130" spans="1:16" s="1859" customFormat="1" ht="18.75" hidden="1" customHeight="1">
      <c r="A130" s="1692"/>
      <c r="B130" s="1692"/>
      <c r="C130" s="296" t="s">
        <v>1024</v>
      </c>
      <c r="D130" s="2298"/>
      <c r="E130" s="2101"/>
      <c r="F130" s="2231"/>
      <c r="G130" s="2265"/>
      <c r="H130" s="1412"/>
      <c r="I130" s="571" t="s">
        <v>1023</v>
      </c>
      <c r="J130" s="495"/>
      <c r="K130" s="1412"/>
      <c r="L130" s="135"/>
      <c r="M130" s="266"/>
      <c r="N130" s="259"/>
      <c r="O130" s="1538"/>
      <c r="P130" s="1538"/>
    </row>
    <row r="131" spans="1:16" s="1859" customFormat="1" ht="0.75" hidden="1" customHeight="1">
      <c r="A131" s="1692"/>
      <c r="B131" s="1692"/>
      <c r="C131" s="296" t="s">
        <v>1031</v>
      </c>
      <c r="D131" s="2298"/>
      <c r="E131" s="2101"/>
      <c r="F131" s="2231"/>
      <c r="G131" s="333"/>
      <c r="H131" s="1412"/>
      <c r="I131" s="571"/>
      <c r="J131" s="495"/>
      <c r="K131" s="1412"/>
      <c r="L131" s="135"/>
      <c r="M131" s="266"/>
      <c r="N131" s="259"/>
      <c r="O131" s="1538"/>
      <c r="P131" s="1538"/>
    </row>
    <row r="132" spans="1:16" s="1859" customFormat="1" ht="18.75" hidden="1" customHeight="1">
      <c r="A132" s="1692" t="s">
        <v>233</v>
      </c>
      <c r="B132" s="1692" t="s">
        <v>234</v>
      </c>
      <c r="C132" s="296"/>
      <c r="D132" s="2298"/>
      <c r="E132" s="2101"/>
      <c r="F132" s="2231" t="str">
        <f>INDEX(PT_DIFFERENTIATION_VTAR,MATCH(A132,PT_DIFFERENTIATION_VTAR_ID,0))</f>
        <v>Тариф на водоотведение</v>
      </c>
      <c r="G132" s="2265" t="str">
        <f>INDEX(PT_DIFFERENTIATION_NTAR,MATCH(B132,PT_DIFFERENTIATION_NTAR_ID,0))</f>
        <v/>
      </c>
      <c r="H132" s="1774"/>
      <c r="I132" s="1651"/>
      <c r="J132" s="1685"/>
      <c r="K132" s="1690"/>
      <c r="L132" s="1774" t="s">
        <v>274</v>
      </c>
      <c r="M132" s="266"/>
      <c r="N132" s="259"/>
      <c r="O132" s="1538"/>
      <c r="P132" s="1538"/>
    </row>
    <row r="133" spans="1:16" s="1859" customFormat="1" ht="18.75" hidden="1" customHeight="1">
      <c r="A133" s="1692"/>
      <c r="B133" s="1692"/>
      <c r="C133" s="296" t="s">
        <v>1024</v>
      </c>
      <c r="D133" s="2298"/>
      <c r="E133" s="2101"/>
      <c r="F133" s="2231"/>
      <c r="G133" s="2265"/>
      <c r="H133" s="1412"/>
      <c r="I133" s="571" t="s">
        <v>1023</v>
      </c>
      <c r="J133" s="495"/>
      <c r="K133" s="1412"/>
      <c r="L133" s="135"/>
      <c r="M133" s="266"/>
      <c r="N133" s="259"/>
      <c r="O133" s="1538"/>
      <c r="P133" s="1538"/>
    </row>
    <row r="134" spans="1:16" s="1859" customFormat="1" ht="0.75" hidden="1" customHeight="1">
      <c r="A134" s="1692"/>
      <c r="B134" s="1692"/>
      <c r="C134" s="296" t="s">
        <v>1031</v>
      </c>
      <c r="D134" s="2298"/>
      <c r="E134" s="2101"/>
      <c r="F134" s="2231"/>
      <c r="G134" s="333"/>
      <c r="H134" s="1412"/>
      <c r="I134" s="571"/>
      <c r="J134" s="495"/>
      <c r="K134" s="1412"/>
      <c r="L134" s="135"/>
      <c r="M134" s="266"/>
      <c r="N134" s="259"/>
      <c r="O134" s="1538"/>
      <c r="P134" s="1538"/>
    </row>
    <row r="135" spans="1:16" s="1859" customFormat="1" ht="18.75" hidden="1" customHeight="1">
      <c r="A135" s="1692" t="s">
        <v>238</v>
      </c>
      <c r="B135" s="1692" t="s">
        <v>239</v>
      </c>
      <c r="C135" s="296"/>
      <c r="D135" s="2298"/>
      <c r="E135" s="2101"/>
      <c r="F135" s="2231" t="str">
        <f>INDEX(PT_DIFFERENTIATION_VTAR,MATCH(A135,PT_DIFFERENTIATION_VTAR_ID,0))</f>
        <v>Тариф на транспортировку сточных вод</v>
      </c>
      <c r="G135" s="2265" t="str">
        <f>INDEX(PT_DIFFERENTIATION_NTAR,MATCH(B135,PT_DIFFERENTIATION_NTAR_ID,0))</f>
        <v/>
      </c>
      <c r="H135" s="1774"/>
      <c r="I135" s="1651"/>
      <c r="J135" s="1685"/>
      <c r="K135" s="1690"/>
      <c r="L135" s="1774" t="s">
        <v>274</v>
      </c>
      <c r="M135" s="266"/>
      <c r="N135" s="259"/>
      <c r="O135" s="1538"/>
      <c r="P135" s="1538"/>
    </row>
    <row r="136" spans="1:16" s="1859" customFormat="1" ht="18.75" hidden="1" customHeight="1">
      <c r="A136" s="1692"/>
      <c r="B136" s="1692"/>
      <c r="C136" s="296" t="s">
        <v>1024</v>
      </c>
      <c r="D136" s="2298"/>
      <c r="E136" s="2101"/>
      <c r="F136" s="2231"/>
      <c r="G136" s="2265"/>
      <c r="H136" s="1412"/>
      <c r="I136" s="571" t="s">
        <v>1023</v>
      </c>
      <c r="J136" s="495"/>
      <c r="K136" s="1412"/>
      <c r="L136" s="135"/>
      <c r="M136" s="266"/>
      <c r="N136" s="259"/>
      <c r="O136" s="1538"/>
      <c r="P136" s="1538"/>
    </row>
    <row r="137" spans="1:16" s="1859" customFormat="1" ht="0.75" hidden="1" customHeight="1">
      <c r="A137" s="1692"/>
      <c r="B137" s="1692"/>
      <c r="C137" s="296" t="s">
        <v>1031</v>
      </c>
      <c r="D137" s="2298"/>
      <c r="E137" s="2101"/>
      <c r="F137" s="2231"/>
      <c r="G137" s="333"/>
      <c r="H137" s="1412"/>
      <c r="I137" s="571"/>
      <c r="J137" s="495"/>
      <c r="K137" s="1412"/>
      <c r="L137" s="135"/>
      <c r="M137" s="266"/>
      <c r="N137" s="259"/>
      <c r="O137" s="1538"/>
      <c r="P137" s="1538"/>
    </row>
    <row r="138" spans="1:16" s="1859" customFormat="1" ht="18.75" hidden="1" customHeight="1">
      <c r="A138" s="1692" t="s">
        <v>243</v>
      </c>
      <c r="B138" s="1692" t="s">
        <v>244</v>
      </c>
      <c r="C138" s="296"/>
      <c r="D138" s="2298"/>
      <c r="E138" s="2101"/>
      <c r="F138" s="2231" t="str">
        <f>INDEX(PT_DIFFERENTIATION_VTAR,MATCH(A138,PT_DIFFERENTIATION_VTAR_ID,0))</f>
        <v>Тариф на подключение (технологическое присоединение) к централизованной системе водоотведения</v>
      </c>
      <c r="G138" s="2265" t="str">
        <f>INDEX(PT_DIFFERENTIATION_NTAR,MATCH(B138,PT_DIFFERENTIATION_NTAR_ID,0))</f>
        <v/>
      </c>
      <c r="H138" s="1774"/>
      <c r="I138" s="1651"/>
      <c r="J138" s="1685"/>
      <c r="K138" s="1690"/>
      <c r="L138" s="1774" t="s">
        <v>274</v>
      </c>
      <c r="M138" s="266"/>
      <c r="N138" s="259"/>
      <c r="O138" s="1538"/>
      <c r="P138" s="1538"/>
    </row>
    <row r="139" spans="1:16" s="1859" customFormat="1" ht="18.75" hidden="1" customHeight="1">
      <c r="A139" s="1692"/>
      <c r="B139" s="1692"/>
      <c r="C139" s="296" t="s">
        <v>1024</v>
      </c>
      <c r="D139" s="2298"/>
      <c r="E139" s="2101"/>
      <c r="F139" s="2231"/>
      <c r="G139" s="2265"/>
      <c r="H139" s="1412"/>
      <c r="I139" s="571" t="s">
        <v>1023</v>
      </c>
      <c r="J139" s="495"/>
      <c r="K139" s="1412"/>
      <c r="L139" s="135"/>
      <c r="M139" s="266"/>
      <c r="N139" s="259"/>
      <c r="O139" s="1538"/>
      <c r="P139" s="1538"/>
    </row>
    <row r="140" spans="1:16" s="1859" customFormat="1" ht="0.75" customHeight="1">
      <c r="A140" s="1692"/>
      <c r="B140" s="1692"/>
      <c r="C140" s="296" t="s">
        <v>1031</v>
      </c>
      <c r="D140" s="2298"/>
      <c r="E140" s="2101"/>
      <c r="F140" s="2231"/>
      <c r="G140" s="333"/>
      <c r="H140" s="1412"/>
      <c r="I140" s="571"/>
      <c r="J140" s="495"/>
      <c r="K140" s="1412"/>
      <c r="L140" s="135"/>
      <c r="M140" s="266"/>
      <c r="N140" s="259"/>
      <c r="O140" s="1538"/>
      <c r="P140" s="1538"/>
    </row>
    <row r="141" spans="1:16" ht="18.75" customHeight="1">
      <c r="A141" s="1692"/>
      <c r="B141" s="1692"/>
      <c r="D141" s="304"/>
      <c r="E141" s="71" t="s">
        <v>76</v>
      </c>
      <c r="F141" s="229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1" s="2292"/>
      <c r="H141" s="2292"/>
      <c r="I141" s="2292"/>
      <c r="J141" s="2292"/>
      <c r="K141" s="2292"/>
      <c r="L141" s="2292"/>
      <c r="M141" s="214"/>
      <c r="N141" s="259"/>
    </row>
    <row r="142" spans="1:16" s="1859" customFormat="1" ht="60.75" hidden="1" customHeight="1">
      <c r="A142" s="1692" t="s">
        <v>137</v>
      </c>
      <c r="B142" s="1692" t="s">
        <v>138</v>
      </c>
      <c r="C142" s="296"/>
      <c r="D142" s="2298"/>
      <c r="E142" s="2101"/>
      <c r="F142" s="2231"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265" t="str">
        <f>INDEX(PT_DIFFERENTIATION_NTAR,MATCH(B142,PT_DIFFERENTIATION_NTAR_ID,0))</f>
        <v/>
      </c>
      <c r="H142" s="1774"/>
      <c r="I142" s="1651"/>
      <c r="J142" s="1685"/>
      <c r="K142" s="1690"/>
      <c r="L142" s="1774" t="s">
        <v>274</v>
      </c>
      <c r="M142" s="206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2" s="259"/>
      <c r="O142" s="1538"/>
      <c r="P142" s="1538"/>
    </row>
    <row r="143" spans="1:16" s="1859" customFormat="1" ht="18.75" hidden="1" customHeight="1">
      <c r="A143" s="1692"/>
      <c r="B143" s="1692"/>
      <c r="C143" s="296" t="s">
        <v>1024</v>
      </c>
      <c r="D143" s="2298"/>
      <c r="E143" s="2101"/>
      <c r="F143" s="2231"/>
      <c r="G143" s="2265"/>
      <c r="H143" s="1412"/>
      <c r="I143" s="571" t="s">
        <v>1023</v>
      </c>
      <c r="J143" s="495"/>
      <c r="K143" s="1412"/>
      <c r="L143" s="135"/>
      <c r="M143" s="2064"/>
      <c r="N143" s="259"/>
      <c r="O143" s="1538"/>
      <c r="P143" s="1538"/>
    </row>
    <row r="144" spans="1:16" s="1859" customFormat="1" ht="0.75" hidden="1" customHeight="1">
      <c r="A144" s="1692"/>
      <c r="B144" s="1692"/>
      <c r="C144" s="296" t="s">
        <v>1031</v>
      </c>
      <c r="D144" s="2298"/>
      <c r="E144" s="2101"/>
      <c r="F144" s="2231"/>
      <c r="G144" s="333"/>
      <c r="H144" s="1412"/>
      <c r="I144" s="571"/>
      <c r="J144" s="495"/>
      <c r="K144" s="1412"/>
      <c r="L144" s="135"/>
      <c r="M144" s="2064"/>
      <c r="N144" s="259"/>
      <c r="O144" s="1538"/>
      <c r="P144" s="1538"/>
    </row>
    <row r="145" spans="1:16" s="1859" customFormat="1" ht="45" hidden="1" customHeight="1">
      <c r="A145" s="1692" t="s">
        <v>143</v>
      </c>
      <c r="B145" s="1692" t="s">
        <v>144</v>
      </c>
      <c r="C145" s="296"/>
      <c r="D145" s="2298"/>
      <c r="E145" s="2101"/>
      <c r="F145" s="2231"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265" t="str">
        <f>INDEX(PT_DIFFERENTIATION_NTAR,MATCH(B145,PT_DIFFERENTIATION_NTAR_ID,0))</f>
        <v/>
      </c>
      <c r="H145" s="1774"/>
      <c r="I145" s="1651"/>
      <c r="J145" s="1685"/>
      <c r="K145" s="1690"/>
      <c r="L145" s="1774" t="s">
        <v>274</v>
      </c>
      <c r="M145" s="2065"/>
      <c r="N145" s="259"/>
      <c r="O145" s="1538"/>
      <c r="P145" s="1538"/>
    </row>
    <row r="146" spans="1:16" s="1859" customFormat="1" ht="18.75" hidden="1" customHeight="1">
      <c r="A146" s="1692"/>
      <c r="B146" s="1692"/>
      <c r="C146" s="296" t="s">
        <v>1024</v>
      </c>
      <c r="D146" s="2298"/>
      <c r="E146" s="2101"/>
      <c r="F146" s="2231"/>
      <c r="G146" s="2265"/>
      <c r="H146" s="1412"/>
      <c r="I146" s="571" t="s">
        <v>1023</v>
      </c>
      <c r="J146" s="495"/>
      <c r="K146" s="1412"/>
      <c r="L146" s="135"/>
      <c r="M146" s="1773"/>
      <c r="N146" s="259"/>
      <c r="O146" s="1538"/>
      <c r="P146" s="1538"/>
    </row>
    <row r="147" spans="1:16" s="1859" customFormat="1" ht="0.75" hidden="1" customHeight="1">
      <c r="A147" s="1692"/>
      <c r="B147" s="1692"/>
      <c r="C147" s="296" t="s">
        <v>1031</v>
      </c>
      <c r="D147" s="2298"/>
      <c r="E147" s="2101"/>
      <c r="F147" s="2231"/>
      <c r="G147" s="333"/>
      <c r="H147" s="1412"/>
      <c r="I147" s="571"/>
      <c r="J147" s="495"/>
      <c r="K147" s="1412"/>
      <c r="L147" s="135"/>
      <c r="M147" s="266"/>
      <c r="N147" s="259"/>
      <c r="O147" s="1538"/>
      <c r="P147" s="1538"/>
    </row>
    <row r="148" spans="1:16" s="1859" customFormat="1" ht="45" hidden="1" customHeight="1">
      <c r="A148" s="1692" t="s">
        <v>149</v>
      </c>
      <c r="B148" s="1692" t="s">
        <v>150</v>
      </c>
      <c r="C148" s="296"/>
      <c r="D148" s="2298"/>
      <c r="E148" s="2101"/>
      <c r="F148" s="2231"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265" t="str">
        <f>INDEX(PT_DIFFERENTIATION_NTAR,MATCH(B148,PT_DIFFERENTIATION_NTAR_ID,0))</f>
        <v/>
      </c>
      <c r="H148" s="1774"/>
      <c r="I148" s="1651"/>
      <c r="J148" s="1685"/>
      <c r="K148" s="1690"/>
      <c r="L148" s="1774" t="s">
        <v>274</v>
      </c>
      <c r="M148" s="266"/>
      <c r="N148" s="259"/>
      <c r="O148" s="1538"/>
      <c r="P148" s="1538"/>
    </row>
    <row r="149" spans="1:16" s="1859" customFormat="1" ht="18.75" hidden="1" customHeight="1">
      <c r="A149" s="1692"/>
      <c r="B149" s="1692"/>
      <c r="C149" s="296" t="s">
        <v>1024</v>
      </c>
      <c r="D149" s="2298"/>
      <c r="E149" s="2101"/>
      <c r="F149" s="2231"/>
      <c r="G149" s="2265"/>
      <c r="H149" s="1412"/>
      <c r="I149" s="571" t="s">
        <v>1023</v>
      </c>
      <c r="J149" s="495"/>
      <c r="K149" s="1412"/>
      <c r="L149" s="135"/>
      <c r="M149" s="266"/>
      <c r="N149" s="259"/>
      <c r="O149" s="1538"/>
      <c r="P149" s="1538"/>
    </row>
    <row r="150" spans="1:16" s="1859" customFormat="1" ht="0.75" hidden="1" customHeight="1">
      <c r="A150" s="1692"/>
      <c r="B150" s="1692"/>
      <c r="C150" s="296" t="s">
        <v>1031</v>
      </c>
      <c r="D150" s="2298"/>
      <c r="E150" s="2101"/>
      <c r="F150" s="2231"/>
      <c r="G150" s="333"/>
      <c r="H150" s="1412"/>
      <c r="I150" s="571"/>
      <c r="J150" s="495"/>
      <c r="K150" s="1412"/>
      <c r="L150" s="135"/>
      <c r="M150" s="266"/>
      <c r="N150" s="259"/>
      <c r="O150" s="1538"/>
      <c r="P150" s="1538"/>
    </row>
    <row r="151" spans="1:16" s="1859" customFormat="1" ht="45" hidden="1" customHeight="1">
      <c r="A151" s="1692" t="s">
        <v>155</v>
      </c>
      <c r="B151" s="1692" t="s">
        <v>156</v>
      </c>
      <c r="C151" s="296"/>
      <c r="D151" s="2298"/>
      <c r="E151" s="2101"/>
      <c r="F151" s="2231"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265" t="str">
        <f>INDEX(PT_DIFFERENTIATION_NTAR,MATCH(B151,PT_DIFFERENTIATION_NTAR_ID,0))</f>
        <v/>
      </c>
      <c r="H151" s="1774"/>
      <c r="I151" s="1651"/>
      <c r="J151" s="1685"/>
      <c r="K151" s="1690"/>
      <c r="L151" s="1774" t="s">
        <v>274</v>
      </c>
      <c r="M151" s="266"/>
      <c r="N151" s="259"/>
      <c r="O151" s="1538"/>
      <c r="P151" s="1538"/>
    </row>
    <row r="152" spans="1:16" s="1859" customFormat="1" ht="18.75" hidden="1" customHeight="1">
      <c r="A152" s="1692"/>
      <c r="B152" s="1692"/>
      <c r="C152" s="296" t="s">
        <v>1024</v>
      </c>
      <c r="D152" s="2298"/>
      <c r="E152" s="2101"/>
      <c r="F152" s="2231"/>
      <c r="G152" s="2265"/>
      <c r="H152" s="1412"/>
      <c r="I152" s="571" t="s">
        <v>1023</v>
      </c>
      <c r="J152" s="495"/>
      <c r="K152" s="1412"/>
      <c r="L152" s="135"/>
      <c r="M152" s="266"/>
      <c r="N152" s="259"/>
      <c r="O152" s="1538"/>
      <c r="P152" s="1538"/>
    </row>
    <row r="153" spans="1:16" s="1859" customFormat="1" ht="0.75" hidden="1" customHeight="1">
      <c r="A153" s="1692"/>
      <c r="B153" s="1692"/>
      <c r="C153" s="296" t="s">
        <v>1031</v>
      </c>
      <c r="D153" s="2298"/>
      <c r="E153" s="2101"/>
      <c r="F153" s="2231"/>
      <c r="G153" s="333"/>
      <c r="H153" s="1412"/>
      <c r="I153" s="571"/>
      <c r="J153" s="495"/>
      <c r="K153" s="1412"/>
      <c r="L153" s="135"/>
      <c r="M153" s="266"/>
      <c r="N153" s="259"/>
      <c r="O153" s="1538"/>
      <c r="P153" s="1538"/>
    </row>
    <row r="154" spans="1:16" s="1859" customFormat="1" ht="18.75" hidden="1" customHeight="1">
      <c r="A154" s="1692" t="s">
        <v>161</v>
      </c>
      <c r="B154" s="1692" t="s">
        <v>162</v>
      </c>
      <c r="C154" s="296"/>
      <c r="D154" s="2298"/>
      <c r="E154" s="2101"/>
      <c r="F154" s="2231" t="str">
        <f>INDEX(PT_DIFFERENTIATION_VTAR,MATCH(A154,PT_DIFFERENTIATION_VTAR_ID,0))</f>
        <v>Тарифы на услуги по передаче тепловой энергии</v>
      </c>
      <c r="G154" s="2265" t="str">
        <f>INDEX(PT_DIFFERENTIATION_NTAR,MATCH(B154,PT_DIFFERENTIATION_NTAR_ID,0))</f>
        <v/>
      </c>
      <c r="H154" s="1774"/>
      <c r="I154" s="1651"/>
      <c r="J154" s="1685"/>
      <c r="K154" s="1690"/>
      <c r="L154" s="1774" t="s">
        <v>274</v>
      </c>
      <c r="M154" s="266"/>
      <c r="N154" s="259"/>
      <c r="O154" s="1538"/>
      <c r="P154" s="1538"/>
    </row>
    <row r="155" spans="1:16" s="1859" customFormat="1" ht="18.75" hidden="1" customHeight="1">
      <c r="A155" s="1692"/>
      <c r="B155" s="1692"/>
      <c r="C155" s="296" t="s">
        <v>1024</v>
      </c>
      <c r="D155" s="2298"/>
      <c r="E155" s="2101"/>
      <c r="F155" s="2231"/>
      <c r="G155" s="2265"/>
      <c r="H155" s="1412"/>
      <c r="I155" s="571" t="s">
        <v>1023</v>
      </c>
      <c r="J155" s="495"/>
      <c r="K155" s="1412"/>
      <c r="L155" s="135"/>
      <c r="M155" s="266"/>
      <c r="N155" s="259"/>
      <c r="O155" s="1538"/>
      <c r="P155" s="1538"/>
    </row>
    <row r="156" spans="1:16" s="1859" customFormat="1" ht="0.75" hidden="1" customHeight="1">
      <c r="A156" s="1692"/>
      <c r="B156" s="1692"/>
      <c r="C156" s="296" t="s">
        <v>1031</v>
      </c>
      <c r="D156" s="2298"/>
      <c r="E156" s="2101"/>
      <c r="F156" s="2231"/>
      <c r="G156" s="333"/>
      <c r="H156" s="1412"/>
      <c r="I156" s="571"/>
      <c r="J156" s="495"/>
      <c r="K156" s="1412"/>
      <c r="L156" s="135"/>
      <c r="M156" s="266"/>
      <c r="N156" s="259"/>
      <c r="O156" s="1538"/>
      <c r="P156" s="1538"/>
    </row>
    <row r="157" spans="1:16" s="1859" customFormat="1" ht="18.75" hidden="1" customHeight="1">
      <c r="A157" s="1692" t="s">
        <v>167</v>
      </c>
      <c r="B157" s="1692" t="s">
        <v>168</v>
      </c>
      <c r="C157" s="296"/>
      <c r="D157" s="2298"/>
      <c r="E157" s="2101"/>
      <c r="F157" s="2231" t="str">
        <f>INDEX(PT_DIFFERENTIATION_VTAR,MATCH(A157,PT_DIFFERENTIATION_VTAR_ID,0))</f>
        <v>Тарифы на услуги по передаче теплоносителя</v>
      </c>
      <c r="G157" s="2265" t="str">
        <f>INDEX(PT_DIFFERENTIATION_NTAR,MATCH(B157,PT_DIFFERENTIATION_NTAR_ID,0))</f>
        <v/>
      </c>
      <c r="H157" s="1774"/>
      <c r="I157" s="1651"/>
      <c r="J157" s="1685"/>
      <c r="K157" s="1690"/>
      <c r="L157" s="1774" t="s">
        <v>274</v>
      </c>
      <c r="M157" s="266"/>
      <c r="N157" s="259"/>
      <c r="O157" s="1538"/>
      <c r="P157" s="1538"/>
    </row>
    <row r="158" spans="1:16" s="1859" customFormat="1" ht="18.75" hidden="1" customHeight="1">
      <c r="A158" s="1692"/>
      <c r="B158" s="1692"/>
      <c r="C158" s="296" t="s">
        <v>1024</v>
      </c>
      <c r="D158" s="2298"/>
      <c r="E158" s="2101"/>
      <c r="F158" s="2231"/>
      <c r="G158" s="2265"/>
      <c r="H158" s="1412"/>
      <c r="I158" s="571" t="s">
        <v>1023</v>
      </c>
      <c r="J158" s="495"/>
      <c r="K158" s="1412"/>
      <c r="L158" s="135"/>
      <c r="M158" s="266"/>
      <c r="N158" s="259"/>
      <c r="O158" s="1538"/>
      <c r="P158" s="1538"/>
    </row>
    <row r="159" spans="1:16" s="1859" customFormat="1" ht="0.75" hidden="1" customHeight="1">
      <c r="A159" s="1692"/>
      <c r="B159" s="1692"/>
      <c r="C159" s="296" t="s">
        <v>1031</v>
      </c>
      <c r="D159" s="2298"/>
      <c r="E159" s="2101"/>
      <c r="F159" s="2231"/>
      <c r="G159" s="333"/>
      <c r="H159" s="1412"/>
      <c r="I159" s="571"/>
      <c r="J159" s="495"/>
      <c r="K159" s="1412"/>
      <c r="L159" s="135"/>
      <c r="M159" s="266"/>
      <c r="N159" s="259"/>
      <c r="O159" s="1538"/>
      <c r="P159" s="1538"/>
    </row>
    <row r="160" spans="1:16" s="1859" customFormat="1" ht="18.75" hidden="1" customHeight="1">
      <c r="A160" s="1692" t="s">
        <v>173</v>
      </c>
      <c r="B160" s="1692" t="s">
        <v>174</v>
      </c>
      <c r="C160" s="296"/>
      <c r="D160" s="2298"/>
      <c r="E160" s="2101"/>
      <c r="F160" s="2231"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265" t="str">
        <f>INDEX(PT_DIFFERENTIATION_NTAR,MATCH(B160,PT_DIFFERENTIATION_NTAR_ID,0))</f>
        <v/>
      </c>
      <c r="H160" s="1774"/>
      <c r="I160" s="1651"/>
      <c r="J160" s="1685"/>
      <c r="K160" s="1690"/>
      <c r="L160" s="1774" t="s">
        <v>274</v>
      </c>
      <c r="M160" s="266"/>
      <c r="N160" s="259"/>
      <c r="O160" s="1538"/>
      <c r="P160" s="1538"/>
    </row>
    <row r="161" spans="1:16" s="1859" customFormat="1" ht="18.75" hidden="1" customHeight="1">
      <c r="A161" s="1692"/>
      <c r="B161" s="1692"/>
      <c r="C161" s="296" t="s">
        <v>1024</v>
      </c>
      <c r="D161" s="2298"/>
      <c r="E161" s="2101"/>
      <c r="F161" s="2231"/>
      <c r="G161" s="2265"/>
      <c r="H161" s="1412"/>
      <c r="I161" s="571" t="s">
        <v>1023</v>
      </c>
      <c r="J161" s="495"/>
      <c r="K161" s="1412"/>
      <c r="L161" s="135"/>
      <c r="M161" s="266"/>
      <c r="N161" s="259"/>
      <c r="O161" s="1538"/>
      <c r="P161" s="1538"/>
    </row>
    <row r="162" spans="1:16" s="1859" customFormat="1" ht="0.75" hidden="1" customHeight="1">
      <c r="A162" s="1692"/>
      <c r="B162" s="1692"/>
      <c r="C162" s="296" t="s">
        <v>1031</v>
      </c>
      <c r="D162" s="2298"/>
      <c r="E162" s="2101"/>
      <c r="F162" s="2231"/>
      <c r="G162" s="333"/>
      <c r="H162" s="1412"/>
      <c r="I162" s="571"/>
      <c r="J162" s="495"/>
      <c r="K162" s="1412"/>
      <c r="L162" s="135"/>
      <c r="M162" s="266"/>
      <c r="N162" s="259"/>
      <c r="O162" s="1538"/>
      <c r="P162" s="1538"/>
    </row>
    <row r="163" spans="1:16" s="1859" customFormat="1" ht="18.75" hidden="1" customHeight="1">
      <c r="A163" s="1692" t="s">
        <v>179</v>
      </c>
      <c r="B163" s="1692" t="s">
        <v>180</v>
      </c>
      <c r="C163" s="296"/>
      <c r="D163" s="2298"/>
      <c r="E163" s="2101"/>
      <c r="F163" s="2231" t="str">
        <f>INDEX(PT_DIFFERENTIATION_VTAR,MATCH(A163,PT_DIFFERENTIATION_VTAR_ID,0))</f>
        <v>Плата за подключение (технологическое присоединение) к системе теплоснабжения</v>
      </c>
      <c r="G163" s="2265" t="str">
        <f>INDEX(PT_DIFFERENTIATION_NTAR,MATCH(B163,PT_DIFFERENTIATION_NTAR_ID,0))</f>
        <v/>
      </c>
      <c r="H163" s="1774"/>
      <c r="I163" s="1651"/>
      <c r="J163" s="1685"/>
      <c r="K163" s="1690"/>
      <c r="L163" s="1774" t="s">
        <v>274</v>
      </c>
      <c r="M163" s="266"/>
      <c r="N163" s="259"/>
      <c r="O163" s="1538"/>
      <c r="P163" s="1538"/>
    </row>
    <row r="164" spans="1:16" s="1859" customFormat="1" ht="18.75" hidden="1" customHeight="1">
      <c r="A164" s="1692"/>
      <c r="B164" s="1692"/>
      <c r="C164" s="296" t="s">
        <v>1024</v>
      </c>
      <c r="D164" s="2298"/>
      <c r="E164" s="2101"/>
      <c r="F164" s="2231"/>
      <c r="G164" s="2265"/>
      <c r="H164" s="1412"/>
      <c r="I164" s="571" t="s">
        <v>1023</v>
      </c>
      <c r="J164" s="495"/>
      <c r="K164" s="1412"/>
      <c r="L164" s="135"/>
      <c r="M164" s="266"/>
      <c r="N164" s="259"/>
      <c r="O164" s="1538"/>
      <c r="P164" s="1538"/>
    </row>
    <row r="165" spans="1:16" s="1859" customFormat="1" ht="0.75" hidden="1" customHeight="1">
      <c r="A165" s="1692"/>
      <c r="B165" s="1692"/>
      <c r="C165" s="296" t="s">
        <v>1031</v>
      </c>
      <c r="D165" s="2298"/>
      <c r="E165" s="2101"/>
      <c r="F165" s="2231"/>
      <c r="G165" s="333"/>
      <c r="H165" s="1412"/>
      <c r="I165" s="571"/>
      <c r="J165" s="495"/>
      <c r="K165" s="1412"/>
      <c r="L165" s="135"/>
      <c r="M165" s="266"/>
      <c r="N165" s="259"/>
      <c r="O165" s="1538"/>
      <c r="P165" s="1538"/>
    </row>
    <row r="166" spans="1:16" s="1859" customFormat="1" ht="18.75" hidden="1" customHeight="1">
      <c r="A166" s="1692" t="s">
        <v>193</v>
      </c>
      <c r="B166" s="1692" t="s">
        <v>194</v>
      </c>
      <c r="C166" s="296"/>
      <c r="D166" s="2298"/>
      <c r="E166" s="2101"/>
      <c r="F166" s="2231" t="str">
        <f>INDEX(PT_DIFFERENTIATION_VTAR,MATCH(A166,PT_DIFFERENTIATION_VTAR_ID,0))</f>
        <v>Тариф на питьевую воду (питьевое водоснабжение)</v>
      </c>
      <c r="G166" s="2265" t="str">
        <f>INDEX(PT_DIFFERENTIATION_NTAR,MATCH(B166,PT_DIFFERENTIATION_NTAR_ID,0))</f>
        <v/>
      </c>
      <c r="H166" s="1774"/>
      <c r="I166" s="1651"/>
      <c r="J166" s="1685"/>
      <c r="K166" s="1690"/>
      <c r="L166" s="1774" t="s">
        <v>274</v>
      </c>
      <c r="M166" s="266"/>
      <c r="N166" s="259"/>
      <c r="O166" s="1538"/>
      <c r="P166" s="1538"/>
    </row>
    <row r="167" spans="1:16" s="1859" customFormat="1" ht="18.75" hidden="1" customHeight="1">
      <c r="A167" s="1692"/>
      <c r="B167" s="1692"/>
      <c r="C167" s="296" t="s">
        <v>1024</v>
      </c>
      <c r="D167" s="2298"/>
      <c r="E167" s="2101"/>
      <c r="F167" s="2231"/>
      <c r="G167" s="2265"/>
      <c r="H167" s="1412"/>
      <c r="I167" s="571" t="s">
        <v>1023</v>
      </c>
      <c r="J167" s="495"/>
      <c r="K167" s="1412"/>
      <c r="L167" s="135"/>
      <c r="M167" s="266"/>
      <c r="N167" s="259"/>
      <c r="O167" s="1538"/>
      <c r="P167" s="1538"/>
    </row>
    <row r="168" spans="1:16" s="1859" customFormat="1" ht="0.75" hidden="1" customHeight="1">
      <c r="A168" s="1692"/>
      <c r="B168" s="1692"/>
      <c r="C168" s="296" t="s">
        <v>1031</v>
      </c>
      <c r="D168" s="2298"/>
      <c r="E168" s="2101"/>
      <c r="F168" s="2231"/>
      <c r="G168" s="333"/>
      <c r="H168" s="1412"/>
      <c r="I168" s="571"/>
      <c r="J168" s="495"/>
      <c r="K168" s="1412"/>
      <c r="L168" s="135"/>
      <c r="M168" s="266"/>
      <c r="N168" s="259"/>
      <c r="O168" s="1538"/>
      <c r="P168" s="1538"/>
    </row>
    <row r="169" spans="1:16" s="1859" customFormat="1" ht="18.75" hidden="1" customHeight="1">
      <c r="A169" s="1692" t="s">
        <v>198</v>
      </c>
      <c r="B169" s="1692" t="s">
        <v>199</v>
      </c>
      <c r="C169" s="296"/>
      <c r="D169" s="2298"/>
      <c r="E169" s="2101"/>
      <c r="F169" s="2231" t="str">
        <f>INDEX(PT_DIFFERENTIATION_VTAR,MATCH(A169,PT_DIFFERENTIATION_VTAR_ID,0))</f>
        <v>Тариф на техническую воду</v>
      </c>
      <c r="G169" s="2265" t="str">
        <f>INDEX(PT_DIFFERENTIATION_NTAR,MATCH(B169,PT_DIFFERENTIATION_NTAR_ID,0))</f>
        <v/>
      </c>
      <c r="H169" s="1774"/>
      <c r="I169" s="1651"/>
      <c r="J169" s="1685"/>
      <c r="K169" s="1690"/>
      <c r="L169" s="1774" t="s">
        <v>274</v>
      </c>
      <c r="M169" s="266"/>
      <c r="N169" s="259"/>
      <c r="O169" s="1538"/>
      <c r="P169" s="1538"/>
    </row>
    <row r="170" spans="1:16" s="1859" customFormat="1" ht="18.75" hidden="1" customHeight="1">
      <c r="A170" s="1692"/>
      <c r="B170" s="1692"/>
      <c r="C170" s="296" t="s">
        <v>1024</v>
      </c>
      <c r="D170" s="2298"/>
      <c r="E170" s="2101"/>
      <c r="F170" s="2231"/>
      <c r="G170" s="2265"/>
      <c r="H170" s="1412"/>
      <c r="I170" s="571" t="s">
        <v>1023</v>
      </c>
      <c r="J170" s="495"/>
      <c r="K170" s="1412"/>
      <c r="L170" s="135"/>
      <c r="M170" s="266"/>
      <c r="N170" s="259"/>
      <c r="O170" s="1538"/>
      <c r="P170" s="1538"/>
    </row>
    <row r="171" spans="1:16" s="1859" customFormat="1" ht="0.75" hidden="1" customHeight="1">
      <c r="A171" s="1692"/>
      <c r="B171" s="1692"/>
      <c r="C171" s="296" t="s">
        <v>1031</v>
      </c>
      <c r="D171" s="2298"/>
      <c r="E171" s="2101"/>
      <c r="F171" s="2231"/>
      <c r="G171" s="333"/>
      <c r="H171" s="1412"/>
      <c r="I171" s="571"/>
      <c r="J171" s="495"/>
      <c r="K171" s="1412"/>
      <c r="L171" s="135"/>
      <c r="M171" s="266"/>
      <c r="N171" s="259"/>
      <c r="O171" s="1538"/>
      <c r="P171" s="1538"/>
    </row>
    <row r="172" spans="1:16" s="1859" customFormat="1" ht="18.75" hidden="1" customHeight="1">
      <c r="A172" s="1692" t="s">
        <v>203</v>
      </c>
      <c r="B172" s="1692" t="s">
        <v>204</v>
      </c>
      <c r="C172" s="296"/>
      <c r="D172" s="2298"/>
      <c r="E172" s="2101"/>
      <c r="F172" s="2231" t="str">
        <f>INDEX(PT_DIFFERENTIATION_VTAR,MATCH(A172,PT_DIFFERENTIATION_VTAR_ID,0))</f>
        <v>Тариф на транспортировку воды</v>
      </c>
      <c r="G172" s="2265" t="str">
        <f>INDEX(PT_DIFFERENTIATION_NTAR,MATCH(B172,PT_DIFFERENTIATION_NTAR_ID,0))</f>
        <v/>
      </c>
      <c r="H172" s="1774"/>
      <c r="I172" s="1651"/>
      <c r="J172" s="1685"/>
      <c r="K172" s="1690"/>
      <c r="L172" s="1774" t="s">
        <v>274</v>
      </c>
      <c r="M172" s="266"/>
      <c r="N172" s="259"/>
      <c r="O172" s="1538"/>
      <c r="P172" s="1538"/>
    </row>
    <row r="173" spans="1:16" s="1859" customFormat="1" ht="18.75" hidden="1" customHeight="1">
      <c r="A173" s="1692"/>
      <c r="B173" s="1692"/>
      <c r="C173" s="296" t="s">
        <v>1024</v>
      </c>
      <c r="D173" s="2298"/>
      <c r="E173" s="2101"/>
      <c r="F173" s="2231"/>
      <c r="G173" s="2265"/>
      <c r="H173" s="1412"/>
      <c r="I173" s="571" t="s">
        <v>1023</v>
      </c>
      <c r="J173" s="495"/>
      <c r="K173" s="1412"/>
      <c r="L173" s="135"/>
      <c r="M173" s="266"/>
      <c r="N173" s="259"/>
      <c r="O173" s="1538"/>
      <c r="P173" s="1538"/>
    </row>
    <row r="174" spans="1:16" s="1859" customFormat="1" ht="0.75" hidden="1" customHeight="1">
      <c r="A174" s="1692"/>
      <c r="B174" s="1692"/>
      <c r="C174" s="296" t="s">
        <v>1031</v>
      </c>
      <c r="D174" s="2298"/>
      <c r="E174" s="2101"/>
      <c r="F174" s="2231"/>
      <c r="G174" s="333"/>
      <c r="H174" s="1412"/>
      <c r="I174" s="571"/>
      <c r="J174" s="495"/>
      <c r="K174" s="1412"/>
      <c r="L174" s="135"/>
      <c r="M174" s="266"/>
      <c r="N174" s="259"/>
      <c r="O174" s="1538"/>
      <c r="P174" s="1538"/>
    </row>
    <row r="175" spans="1:16" s="1859" customFormat="1" ht="18.75" hidden="1" customHeight="1">
      <c r="A175" s="1692" t="s">
        <v>208</v>
      </c>
      <c r="B175" s="1692" t="s">
        <v>209</v>
      </c>
      <c r="C175" s="296"/>
      <c r="D175" s="2298"/>
      <c r="E175" s="2101"/>
      <c r="F175" s="2231" t="str">
        <f>INDEX(PT_DIFFERENTIATION_VTAR,MATCH(A175,PT_DIFFERENTIATION_VTAR_ID,0))</f>
        <v>Тариф на подвоз воды</v>
      </c>
      <c r="G175" s="2265" t="str">
        <f>INDEX(PT_DIFFERENTIATION_NTAR,MATCH(B175,PT_DIFFERENTIATION_NTAR_ID,0))</f>
        <v/>
      </c>
      <c r="H175" s="1774"/>
      <c r="I175" s="1651"/>
      <c r="J175" s="1685"/>
      <c r="K175" s="1690"/>
      <c r="L175" s="1774" t="s">
        <v>274</v>
      </c>
      <c r="M175" s="266"/>
      <c r="N175" s="259"/>
      <c r="O175" s="1538"/>
      <c r="P175" s="1538"/>
    </row>
    <row r="176" spans="1:16" s="1859" customFormat="1" ht="18.75" hidden="1" customHeight="1">
      <c r="A176" s="1692"/>
      <c r="B176" s="1692"/>
      <c r="C176" s="296" t="s">
        <v>1024</v>
      </c>
      <c r="D176" s="2298"/>
      <c r="E176" s="2101"/>
      <c r="F176" s="2231"/>
      <c r="G176" s="2265"/>
      <c r="H176" s="1412"/>
      <c r="I176" s="571" t="s">
        <v>1023</v>
      </c>
      <c r="J176" s="495"/>
      <c r="K176" s="1412"/>
      <c r="L176" s="135"/>
      <c r="M176" s="266"/>
      <c r="N176" s="259"/>
      <c r="O176" s="1538"/>
      <c r="P176" s="1538"/>
    </row>
    <row r="177" spans="1:16" s="1859" customFormat="1" ht="0.75" hidden="1" customHeight="1">
      <c r="A177" s="1692"/>
      <c r="B177" s="1692"/>
      <c r="C177" s="296" t="s">
        <v>1031</v>
      </c>
      <c r="D177" s="2298"/>
      <c r="E177" s="2101"/>
      <c r="F177" s="2231"/>
      <c r="G177" s="333"/>
      <c r="H177" s="1412"/>
      <c r="I177" s="571"/>
      <c r="J177" s="495"/>
      <c r="K177" s="1412"/>
      <c r="L177" s="135"/>
      <c r="M177" s="266"/>
      <c r="N177" s="259"/>
      <c r="O177" s="1538"/>
      <c r="P177" s="1538"/>
    </row>
    <row r="178" spans="1:16" s="1859" customFormat="1" ht="18.75" hidden="1" customHeight="1">
      <c r="A178" s="1692" t="s">
        <v>213</v>
      </c>
      <c r="B178" s="1692" t="s">
        <v>214</v>
      </c>
      <c r="C178" s="296"/>
      <c r="D178" s="2298"/>
      <c r="E178" s="2101"/>
      <c r="F178" s="2231" t="str">
        <f>INDEX(PT_DIFFERENTIATION_VTAR,MATCH(A178,PT_DIFFERENTIATION_VTAR_ID,0))</f>
        <v>Тариф на подключение (технологическое присоединение) к централизованной системе холодного водоснабжения</v>
      </c>
      <c r="G178" s="2265" t="str">
        <f>INDEX(PT_DIFFERENTIATION_NTAR,MATCH(B178,PT_DIFFERENTIATION_NTAR_ID,0))</f>
        <v/>
      </c>
      <c r="H178" s="1774"/>
      <c r="I178" s="1651"/>
      <c r="J178" s="1685"/>
      <c r="K178" s="1690"/>
      <c r="L178" s="1774" t="s">
        <v>274</v>
      </c>
      <c r="M178" s="266"/>
      <c r="N178" s="259"/>
      <c r="O178" s="1538"/>
      <c r="P178" s="1538"/>
    </row>
    <row r="179" spans="1:16" s="1859" customFormat="1" ht="18.75" hidden="1" customHeight="1">
      <c r="A179" s="1692"/>
      <c r="B179" s="1692"/>
      <c r="C179" s="296" t="s">
        <v>1024</v>
      </c>
      <c r="D179" s="2298"/>
      <c r="E179" s="2101"/>
      <c r="F179" s="2231"/>
      <c r="G179" s="2265"/>
      <c r="H179" s="1412"/>
      <c r="I179" s="571" t="s">
        <v>1023</v>
      </c>
      <c r="J179" s="495"/>
      <c r="K179" s="1412"/>
      <c r="L179" s="135"/>
      <c r="M179" s="266"/>
      <c r="N179" s="259"/>
      <c r="O179" s="1538"/>
      <c r="P179" s="1538"/>
    </row>
    <row r="180" spans="1:16" s="1859" customFormat="1" ht="0.75" hidden="1" customHeight="1">
      <c r="A180" s="1692"/>
      <c r="B180" s="1692"/>
      <c r="C180" s="296" t="s">
        <v>1031</v>
      </c>
      <c r="D180" s="2298"/>
      <c r="E180" s="2101"/>
      <c r="F180" s="2231"/>
      <c r="G180" s="333"/>
      <c r="H180" s="1412"/>
      <c r="I180" s="571"/>
      <c r="J180" s="495"/>
      <c r="K180" s="1412"/>
      <c r="L180" s="135"/>
      <c r="M180" s="266"/>
      <c r="N180" s="259"/>
      <c r="O180" s="1538"/>
      <c r="P180" s="1538"/>
    </row>
    <row r="181" spans="1:16" s="1859" customFormat="1" ht="18.75" hidden="1" customHeight="1">
      <c r="A181" s="1692" t="s">
        <v>218</v>
      </c>
      <c r="B181" s="1692" t="s">
        <v>219</v>
      </c>
      <c r="C181" s="296"/>
      <c r="D181" s="2298"/>
      <c r="E181" s="2101"/>
      <c r="F181" s="2231" t="str">
        <f>INDEX(PT_DIFFERENTIATION_VTAR,MATCH(A181,PT_DIFFERENTIATION_VTAR_ID,0))</f>
        <v>Тариф на горячую воду (горячее водоснабжение)</v>
      </c>
      <c r="G181" s="2265" t="str">
        <f>INDEX(PT_DIFFERENTIATION_NTAR,MATCH(B181,PT_DIFFERENTIATION_NTAR_ID,0))</f>
        <v/>
      </c>
      <c r="H181" s="1774"/>
      <c r="I181" s="1651"/>
      <c r="J181" s="1685"/>
      <c r="K181" s="1690"/>
      <c r="L181" s="1774" t="s">
        <v>274</v>
      </c>
      <c r="M181" s="266"/>
      <c r="N181" s="259"/>
      <c r="O181" s="1538"/>
      <c r="P181" s="1538"/>
    </row>
    <row r="182" spans="1:16" s="1859" customFormat="1" ht="18.75" hidden="1" customHeight="1">
      <c r="A182" s="1692"/>
      <c r="B182" s="1692"/>
      <c r="C182" s="296" t="s">
        <v>1024</v>
      </c>
      <c r="D182" s="2298"/>
      <c r="E182" s="2101"/>
      <c r="F182" s="2231"/>
      <c r="G182" s="2265"/>
      <c r="H182" s="1412"/>
      <c r="I182" s="571" t="s">
        <v>1023</v>
      </c>
      <c r="J182" s="495"/>
      <c r="K182" s="1412"/>
      <c r="L182" s="135"/>
      <c r="M182" s="266"/>
      <c r="N182" s="259"/>
      <c r="O182" s="1538"/>
      <c r="P182" s="1538"/>
    </row>
    <row r="183" spans="1:16" s="1859" customFormat="1" ht="0.75" hidden="1" customHeight="1">
      <c r="A183" s="1692"/>
      <c r="B183" s="1692"/>
      <c r="C183" s="296" t="s">
        <v>1031</v>
      </c>
      <c r="D183" s="2298"/>
      <c r="E183" s="2101"/>
      <c r="F183" s="2231"/>
      <c r="G183" s="333"/>
      <c r="H183" s="1412"/>
      <c r="I183" s="571"/>
      <c r="J183" s="495"/>
      <c r="K183" s="1412"/>
      <c r="L183" s="135"/>
      <c r="M183" s="266"/>
      <c r="N183" s="259"/>
      <c r="O183" s="1538"/>
      <c r="P183" s="1538"/>
    </row>
    <row r="184" spans="1:16" s="1859" customFormat="1" ht="18.75" hidden="1" customHeight="1">
      <c r="A184" s="1692" t="s">
        <v>223</v>
      </c>
      <c r="B184" s="1692" t="s">
        <v>224</v>
      </c>
      <c r="C184" s="296"/>
      <c r="D184" s="2298"/>
      <c r="E184" s="2101"/>
      <c r="F184" s="2231" t="str">
        <f>INDEX(PT_DIFFERENTIATION_VTAR,MATCH(A184,PT_DIFFERENTIATION_VTAR_ID,0))</f>
        <v>Тариф на транспортировку горячей воды</v>
      </c>
      <c r="G184" s="2265" t="str">
        <f>INDEX(PT_DIFFERENTIATION_NTAR,MATCH(B184,PT_DIFFERENTIATION_NTAR_ID,0))</f>
        <v/>
      </c>
      <c r="H184" s="1774"/>
      <c r="I184" s="1651"/>
      <c r="J184" s="1685"/>
      <c r="K184" s="1690"/>
      <c r="L184" s="1774" t="s">
        <v>274</v>
      </c>
      <c r="M184" s="266"/>
      <c r="N184" s="259"/>
      <c r="O184" s="1538"/>
      <c r="P184" s="1538"/>
    </row>
    <row r="185" spans="1:16" s="1859" customFormat="1" ht="18.75" hidden="1" customHeight="1">
      <c r="A185" s="1692"/>
      <c r="B185" s="1692"/>
      <c r="C185" s="296" t="s">
        <v>1024</v>
      </c>
      <c r="D185" s="2298"/>
      <c r="E185" s="2101"/>
      <c r="F185" s="2231"/>
      <c r="G185" s="2265"/>
      <c r="H185" s="1412"/>
      <c r="I185" s="571" t="s">
        <v>1023</v>
      </c>
      <c r="J185" s="495"/>
      <c r="K185" s="1412"/>
      <c r="L185" s="135"/>
      <c r="M185" s="266"/>
      <c r="N185" s="259"/>
      <c r="O185" s="1538"/>
      <c r="P185" s="1538"/>
    </row>
    <row r="186" spans="1:16" s="1859" customFormat="1" ht="0.75" hidden="1" customHeight="1">
      <c r="A186" s="1692"/>
      <c r="B186" s="1692"/>
      <c r="C186" s="296" t="s">
        <v>1031</v>
      </c>
      <c r="D186" s="2298"/>
      <c r="E186" s="2101"/>
      <c r="F186" s="2231"/>
      <c r="G186" s="333"/>
      <c r="H186" s="1412"/>
      <c r="I186" s="571"/>
      <c r="J186" s="495"/>
      <c r="K186" s="1412"/>
      <c r="L186" s="135"/>
      <c r="M186" s="266"/>
      <c r="N186" s="259"/>
      <c r="O186" s="1538"/>
      <c r="P186" s="1538"/>
    </row>
    <row r="187" spans="1:16" s="1859" customFormat="1" ht="18.75" hidden="1" customHeight="1">
      <c r="A187" s="1692" t="s">
        <v>228</v>
      </c>
      <c r="B187" s="1692" t="s">
        <v>229</v>
      </c>
      <c r="C187" s="296"/>
      <c r="D187" s="2298"/>
      <c r="E187" s="2101"/>
      <c r="F187" s="2231" t="str">
        <f>INDEX(PT_DIFFERENTIATION_VTAR,MATCH(A187,PT_DIFFERENTIATION_VTAR_ID,0))</f>
        <v>Тариф на подключение (технологическое присоединение) к централизованной системе горячего водоснабжения</v>
      </c>
      <c r="G187" s="2265" t="str">
        <f>INDEX(PT_DIFFERENTIATION_NTAR,MATCH(B187,PT_DIFFERENTIATION_NTAR_ID,0))</f>
        <v/>
      </c>
      <c r="H187" s="1774"/>
      <c r="I187" s="1651"/>
      <c r="J187" s="1685"/>
      <c r="K187" s="1690"/>
      <c r="L187" s="1774" t="s">
        <v>274</v>
      </c>
      <c r="M187" s="266"/>
      <c r="N187" s="259"/>
      <c r="O187" s="1538"/>
      <c r="P187" s="1538"/>
    </row>
    <row r="188" spans="1:16" s="1859" customFormat="1" ht="18.75" hidden="1" customHeight="1">
      <c r="A188" s="1692"/>
      <c r="B188" s="1692"/>
      <c r="C188" s="296" t="s">
        <v>1024</v>
      </c>
      <c r="D188" s="2298"/>
      <c r="E188" s="2101"/>
      <c r="F188" s="2231"/>
      <c r="G188" s="2265"/>
      <c r="H188" s="1412"/>
      <c r="I188" s="571" t="s">
        <v>1023</v>
      </c>
      <c r="J188" s="495"/>
      <c r="K188" s="1412"/>
      <c r="L188" s="135"/>
      <c r="M188" s="266"/>
      <c r="N188" s="259"/>
      <c r="O188" s="1538"/>
      <c r="P188" s="1538"/>
    </row>
    <row r="189" spans="1:16" s="1859" customFormat="1" ht="0.75" hidden="1" customHeight="1">
      <c r="A189" s="1692"/>
      <c r="B189" s="1692"/>
      <c r="C189" s="296" t="s">
        <v>1031</v>
      </c>
      <c r="D189" s="2298"/>
      <c r="E189" s="2101"/>
      <c r="F189" s="2231"/>
      <c r="G189" s="333"/>
      <c r="H189" s="1412"/>
      <c r="I189" s="571"/>
      <c r="J189" s="495"/>
      <c r="K189" s="1412"/>
      <c r="L189" s="135"/>
      <c r="M189" s="266"/>
      <c r="N189" s="259"/>
      <c r="O189" s="1538"/>
      <c r="P189" s="1538"/>
    </row>
    <row r="190" spans="1:16" s="1859" customFormat="1" ht="18.75" hidden="1" customHeight="1">
      <c r="A190" s="1692" t="s">
        <v>233</v>
      </c>
      <c r="B190" s="1692" t="s">
        <v>234</v>
      </c>
      <c r="C190" s="296"/>
      <c r="D190" s="2298"/>
      <c r="E190" s="2101"/>
      <c r="F190" s="2231" t="str">
        <f>INDEX(PT_DIFFERENTIATION_VTAR,MATCH(A190,PT_DIFFERENTIATION_VTAR_ID,0))</f>
        <v>Тариф на водоотведение</v>
      </c>
      <c r="G190" s="2265" t="str">
        <f>INDEX(PT_DIFFERENTIATION_NTAR,MATCH(B190,PT_DIFFERENTIATION_NTAR_ID,0))</f>
        <v/>
      </c>
      <c r="H190" s="1774"/>
      <c r="I190" s="1651"/>
      <c r="J190" s="1685"/>
      <c r="K190" s="1690"/>
      <c r="L190" s="1774" t="s">
        <v>274</v>
      </c>
      <c r="M190" s="266"/>
      <c r="N190" s="259"/>
      <c r="O190" s="1538"/>
      <c r="P190" s="1538"/>
    </row>
    <row r="191" spans="1:16" s="1859" customFormat="1" ht="18.75" hidden="1" customHeight="1">
      <c r="A191" s="1692"/>
      <c r="B191" s="1692"/>
      <c r="C191" s="296" t="s">
        <v>1024</v>
      </c>
      <c r="D191" s="2298"/>
      <c r="E191" s="2101"/>
      <c r="F191" s="2231"/>
      <c r="G191" s="2265"/>
      <c r="H191" s="1412"/>
      <c r="I191" s="571" t="s">
        <v>1023</v>
      </c>
      <c r="J191" s="495"/>
      <c r="K191" s="1412"/>
      <c r="L191" s="135"/>
      <c r="M191" s="266"/>
      <c r="N191" s="259"/>
      <c r="O191" s="1538"/>
      <c r="P191" s="1538"/>
    </row>
    <row r="192" spans="1:16" s="1859" customFormat="1" ht="0.75" hidden="1" customHeight="1">
      <c r="A192" s="1692"/>
      <c r="B192" s="1692"/>
      <c r="C192" s="296" t="s">
        <v>1031</v>
      </c>
      <c r="D192" s="2298"/>
      <c r="E192" s="2101"/>
      <c r="F192" s="2231"/>
      <c r="G192" s="333"/>
      <c r="H192" s="1412"/>
      <c r="I192" s="571"/>
      <c r="J192" s="495"/>
      <c r="K192" s="1412"/>
      <c r="L192" s="135"/>
      <c r="M192" s="266"/>
      <c r="N192" s="259"/>
      <c r="O192" s="1538"/>
      <c r="P192" s="1538"/>
    </row>
    <row r="193" spans="1:16" s="1859" customFormat="1" ht="18.75" hidden="1" customHeight="1">
      <c r="A193" s="1692" t="s">
        <v>238</v>
      </c>
      <c r="B193" s="1692" t="s">
        <v>239</v>
      </c>
      <c r="C193" s="296"/>
      <c r="D193" s="2298"/>
      <c r="E193" s="2101"/>
      <c r="F193" s="2231" t="str">
        <f>INDEX(PT_DIFFERENTIATION_VTAR,MATCH(A193,PT_DIFFERENTIATION_VTAR_ID,0))</f>
        <v>Тариф на транспортировку сточных вод</v>
      </c>
      <c r="G193" s="2265" t="str">
        <f>INDEX(PT_DIFFERENTIATION_NTAR,MATCH(B193,PT_DIFFERENTIATION_NTAR_ID,0))</f>
        <v/>
      </c>
      <c r="H193" s="1774"/>
      <c r="I193" s="1651"/>
      <c r="J193" s="1685"/>
      <c r="K193" s="1690"/>
      <c r="L193" s="1774" t="s">
        <v>274</v>
      </c>
      <c r="M193" s="266"/>
      <c r="N193" s="259"/>
      <c r="O193" s="1538"/>
      <c r="P193" s="1538"/>
    </row>
    <row r="194" spans="1:16" s="1859" customFormat="1" ht="18.75" hidden="1" customHeight="1">
      <c r="A194" s="1692"/>
      <c r="B194" s="1692"/>
      <c r="C194" s="296" t="s">
        <v>1024</v>
      </c>
      <c r="D194" s="2298"/>
      <c r="E194" s="2101"/>
      <c r="F194" s="2231"/>
      <c r="G194" s="2265"/>
      <c r="H194" s="1412"/>
      <c r="I194" s="571" t="s">
        <v>1023</v>
      </c>
      <c r="J194" s="495"/>
      <c r="K194" s="1412"/>
      <c r="L194" s="135"/>
      <c r="M194" s="266"/>
      <c r="N194" s="259"/>
      <c r="O194" s="1538"/>
      <c r="P194" s="1538"/>
    </row>
    <row r="195" spans="1:16" s="1859" customFormat="1" ht="0.75" hidden="1" customHeight="1">
      <c r="A195" s="1692"/>
      <c r="B195" s="1692"/>
      <c r="C195" s="296" t="s">
        <v>1031</v>
      </c>
      <c r="D195" s="2298"/>
      <c r="E195" s="2101"/>
      <c r="F195" s="2231"/>
      <c r="G195" s="333"/>
      <c r="H195" s="1412"/>
      <c r="I195" s="571"/>
      <c r="J195" s="495"/>
      <c r="K195" s="1412"/>
      <c r="L195" s="135"/>
      <c r="M195" s="266"/>
      <c r="N195" s="259"/>
      <c r="O195" s="1538"/>
      <c r="P195" s="1538"/>
    </row>
    <row r="196" spans="1:16" s="1859" customFormat="1" ht="18.75" hidden="1" customHeight="1">
      <c r="A196" s="1692" t="s">
        <v>243</v>
      </c>
      <c r="B196" s="1692" t="s">
        <v>244</v>
      </c>
      <c r="C196" s="296"/>
      <c r="D196" s="2298"/>
      <c r="E196" s="2101"/>
      <c r="F196" s="2231" t="str">
        <f>INDEX(PT_DIFFERENTIATION_VTAR,MATCH(A196,PT_DIFFERENTIATION_VTAR_ID,0))</f>
        <v>Тариф на подключение (технологическое присоединение) к централизованной системе водоотведения</v>
      </c>
      <c r="G196" s="2265" t="str">
        <f>INDEX(PT_DIFFERENTIATION_NTAR,MATCH(B196,PT_DIFFERENTIATION_NTAR_ID,0))</f>
        <v/>
      </c>
      <c r="H196" s="1774"/>
      <c r="I196" s="1651"/>
      <c r="J196" s="1685"/>
      <c r="K196" s="1690"/>
      <c r="L196" s="1774" t="s">
        <v>274</v>
      </c>
      <c r="M196" s="266"/>
      <c r="N196" s="259"/>
      <c r="O196" s="1538"/>
      <c r="P196" s="1538"/>
    </row>
    <row r="197" spans="1:16" s="1859" customFormat="1" ht="18.75" hidden="1" customHeight="1">
      <c r="A197" s="1692"/>
      <c r="B197" s="1692"/>
      <c r="C197" s="296" t="s">
        <v>1024</v>
      </c>
      <c r="D197" s="2298"/>
      <c r="E197" s="2101"/>
      <c r="F197" s="2231"/>
      <c r="G197" s="2265"/>
      <c r="H197" s="1412"/>
      <c r="I197" s="571" t="s">
        <v>1023</v>
      </c>
      <c r="J197" s="495"/>
      <c r="K197" s="1412"/>
      <c r="L197" s="135"/>
      <c r="M197" s="266"/>
      <c r="N197" s="259"/>
      <c r="O197" s="1538"/>
      <c r="P197" s="1538"/>
    </row>
    <row r="198" spans="1:16" s="1859" customFormat="1" ht="0.75" customHeight="1">
      <c r="A198" s="1692"/>
      <c r="B198" s="1692"/>
      <c r="C198" s="296" t="s">
        <v>1031</v>
      </c>
      <c r="D198" s="2298"/>
      <c r="E198" s="2101"/>
      <c r="F198" s="2231"/>
      <c r="G198" s="333"/>
      <c r="H198" s="1412"/>
      <c r="I198" s="571"/>
      <c r="J198" s="495"/>
      <c r="K198" s="1412"/>
      <c r="L198" s="135"/>
      <c r="M198" s="266"/>
      <c r="N198" s="259"/>
      <c r="O198" s="1538"/>
      <c r="P198" s="1538"/>
    </row>
    <row r="199" spans="1:16" ht="26.25" customHeight="1">
      <c r="A199" s="1692"/>
      <c r="B199" s="1692"/>
      <c r="D199" s="304"/>
      <c r="E199" s="71" t="s">
        <v>93</v>
      </c>
      <c r="F199" s="229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199" s="2292"/>
      <c r="H199" s="2292"/>
      <c r="I199" s="2292"/>
      <c r="J199" s="2292"/>
      <c r="K199" s="2292"/>
      <c r="L199" s="2292"/>
      <c r="M199" s="214"/>
      <c r="N199" s="259"/>
    </row>
    <row r="200" spans="1:16" s="1859" customFormat="1" ht="60.75" hidden="1" customHeight="1">
      <c r="A200" s="1692" t="s">
        <v>137</v>
      </c>
      <c r="B200" s="1692" t="s">
        <v>138</v>
      </c>
      <c r="C200" s="296"/>
      <c r="D200" s="2298"/>
      <c r="E200" s="2101"/>
      <c r="F200" s="2231"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265" t="str">
        <f>INDEX(PT_DIFFERENTIATION_NTAR,MATCH(B200,PT_DIFFERENTIATION_NTAR_ID,0))</f>
        <v/>
      </c>
      <c r="H200" s="1774"/>
      <c r="I200" s="1651"/>
      <c r="J200" s="1685"/>
      <c r="K200" s="1690"/>
      <c r="L200" s="1774" t="s">
        <v>274</v>
      </c>
      <c r="M200" s="206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0" s="259"/>
      <c r="O200" s="1538"/>
      <c r="P200" s="1538"/>
    </row>
    <row r="201" spans="1:16" s="1859" customFormat="1" ht="18.75" hidden="1" customHeight="1">
      <c r="A201" s="1692"/>
      <c r="B201" s="1692"/>
      <c r="C201" s="296" t="s">
        <v>1024</v>
      </c>
      <c r="D201" s="2298"/>
      <c r="E201" s="2101"/>
      <c r="F201" s="2231"/>
      <c r="G201" s="2265"/>
      <c r="H201" s="1412"/>
      <c r="I201" s="571" t="s">
        <v>1023</v>
      </c>
      <c r="J201" s="495"/>
      <c r="K201" s="1412"/>
      <c r="L201" s="135"/>
      <c r="M201" s="2064"/>
      <c r="N201" s="259"/>
      <c r="O201" s="1538"/>
      <c r="P201" s="1538"/>
    </row>
    <row r="202" spans="1:16" s="1859" customFormat="1" ht="0.75" hidden="1" customHeight="1">
      <c r="A202" s="1692"/>
      <c r="B202" s="1692"/>
      <c r="C202" s="296" t="s">
        <v>1031</v>
      </c>
      <c r="D202" s="2298"/>
      <c r="E202" s="2101"/>
      <c r="F202" s="2231"/>
      <c r="G202" s="333"/>
      <c r="H202" s="1412"/>
      <c r="I202" s="571"/>
      <c r="J202" s="495"/>
      <c r="K202" s="1412"/>
      <c r="L202" s="135"/>
      <c r="M202" s="2064"/>
      <c r="N202" s="259"/>
      <c r="O202" s="1538"/>
      <c r="P202" s="1538"/>
    </row>
    <row r="203" spans="1:16" s="1859" customFormat="1" ht="45" hidden="1" customHeight="1">
      <c r="A203" s="1692" t="s">
        <v>143</v>
      </c>
      <c r="B203" s="1692" t="s">
        <v>144</v>
      </c>
      <c r="C203" s="296"/>
      <c r="D203" s="2298"/>
      <c r="E203" s="2101"/>
      <c r="F203" s="2231"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265" t="str">
        <f>INDEX(PT_DIFFERENTIATION_NTAR,MATCH(B203,PT_DIFFERENTIATION_NTAR_ID,0))</f>
        <v/>
      </c>
      <c r="H203" s="1774"/>
      <c r="I203" s="1651"/>
      <c r="J203" s="1685"/>
      <c r="K203" s="1690"/>
      <c r="L203" s="1774" t="s">
        <v>274</v>
      </c>
      <c r="M203" s="2065"/>
      <c r="N203" s="259"/>
      <c r="O203" s="1538"/>
      <c r="P203" s="1538"/>
    </row>
    <row r="204" spans="1:16" s="1859" customFormat="1" ht="18.75" hidden="1" customHeight="1">
      <c r="A204" s="1692"/>
      <c r="B204" s="1692"/>
      <c r="C204" s="296" t="s">
        <v>1024</v>
      </c>
      <c r="D204" s="2298"/>
      <c r="E204" s="2101"/>
      <c r="F204" s="2231"/>
      <c r="G204" s="2265"/>
      <c r="H204" s="1412"/>
      <c r="I204" s="571" t="s">
        <v>1023</v>
      </c>
      <c r="J204" s="495"/>
      <c r="K204" s="1412"/>
      <c r="L204" s="135"/>
      <c r="M204" s="1773"/>
      <c r="N204" s="259"/>
      <c r="O204" s="1538"/>
      <c r="P204" s="1538"/>
    </row>
    <row r="205" spans="1:16" s="1859" customFormat="1" ht="0.75" hidden="1" customHeight="1">
      <c r="A205" s="1692"/>
      <c r="B205" s="1692"/>
      <c r="C205" s="296" t="s">
        <v>1031</v>
      </c>
      <c r="D205" s="2298"/>
      <c r="E205" s="2101"/>
      <c r="F205" s="2231"/>
      <c r="G205" s="333"/>
      <c r="H205" s="1412"/>
      <c r="I205" s="571"/>
      <c r="J205" s="495"/>
      <c r="K205" s="1412"/>
      <c r="L205" s="135"/>
      <c r="M205" s="266"/>
      <c r="N205" s="259"/>
      <c r="O205" s="1538"/>
      <c r="P205" s="1538"/>
    </row>
    <row r="206" spans="1:16" s="1859" customFormat="1" ht="45" hidden="1" customHeight="1">
      <c r="A206" s="1692" t="s">
        <v>149</v>
      </c>
      <c r="B206" s="1692" t="s">
        <v>150</v>
      </c>
      <c r="C206" s="296"/>
      <c r="D206" s="2298"/>
      <c r="E206" s="2101"/>
      <c r="F206" s="2231"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265" t="str">
        <f>INDEX(PT_DIFFERENTIATION_NTAR,MATCH(B206,PT_DIFFERENTIATION_NTAR_ID,0))</f>
        <v/>
      </c>
      <c r="H206" s="1774"/>
      <c r="I206" s="1651"/>
      <c r="J206" s="1685"/>
      <c r="K206" s="1690"/>
      <c r="L206" s="1774" t="s">
        <v>274</v>
      </c>
      <c r="M206" s="266"/>
      <c r="N206" s="259"/>
      <c r="O206" s="1538"/>
      <c r="P206" s="1538"/>
    </row>
    <row r="207" spans="1:16" s="1859" customFormat="1" ht="18.75" hidden="1" customHeight="1">
      <c r="A207" s="1692"/>
      <c r="B207" s="1692"/>
      <c r="C207" s="296" t="s">
        <v>1024</v>
      </c>
      <c r="D207" s="2298"/>
      <c r="E207" s="2101"/>
      <c r="F207" s="2231"/>
      <c r="G207" s="2265"/>
      <c r="H207" s="1412"/>
      <c r="I207" s="571" t="s">
        <v>1023</v>
      </c>
      <c r="J207" s="495"/>
      <c r="K207" s="1412"/>
      <c r="L207" s="135"/>
      <c r="M207" s="266"/>
      <c r="N207" s="259"/>
      <c r="O207" s="1538"/>
      <c r="P207" s="1538"/>
    </row>
    <row r="208" spans="1:16" s="1859" customFormat="1" ht="0.75" hidden="1" customHeight="1">
      <c r="A208" s="1692"/>
      <c r="B208" s="1692"/>
      <c r="C208" s="296" t="s">
        <v>1031</v>
      </c>
      <c r="D208" s="2298"/>
      <c r="E208" s="2101"/>
      <c r="F208" s="2231"/>
      <c r="G208" s="333"/>
      <c r="H208" s="1412"/>
      <c r="I208" s="571"/>
      <c r="J208" s="495"/>
      <c r="K208" s="1412"/>
      <c r="L208" s="135"/>
      <c r="M208" s="266"/>
      <c r="N208" s="259"/>
      <c r="O208" s="1538"/>
      <c r="P208" s="1538"/>
    </row>
    <row r="209" spans="1:16" s="1859" customFormat="1" ht="45" hidden="1" customHeight="1">
      <c r="A209" s="1692" t="s">
        <v>155</v>
      </c>
      <c r="B209" s="1692" t="s">
        <v>156</v>
      </c>
      <c r="C209" s="296"/>
      <c r="D209" s="2298"/>
      <c r="E209" s="2101"/>
      <c r="F209" s="2231"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265" t="str">
        <f>INDEX(PT_DIFFERENTIATION_NTAR,MATCH(B209,PT_DIFFERENTIATION_NTAR_ID,0))</f>
        <v/>
      </c>
      <c r="H209" s="1774"/>
      <c r="I209" s="1651"/>
      <c r="J209" s="1685"/>
      <c r="K209" s="1690"/>
      <c r="L209" s="1774" t="s">
        <v>274</v>
      </c>
      <c r="M209" s="266"/>
      <c r="N209" s="259"/>
      <c r="O209" s="1538"/>
      <c r="P209" s="1538"/>
    </row>
    <row r="210" spans="1:16" s="1859" customFormat="1" ht="18.75" hidden="1" customHeight="1">
      <c r="A210" s="1692"/>
      <c r="B210" s="1692"/>
      <c r="C210" s="296" t="s">
        <v>1024</v>
      </c>
      <c r="D210" s="2298"/>
      <c r="E210" s="2101"/>
      <c r="F210" s="2231"/>
      <c r="G210" s="2265"/>
      <c r="H210" s="1412"/>
      <c r="I210" s="571" t="s">
        <v>1023</v>
      </c>
      <c r="J210" s="495"/>
      <c r="K210" s="1412"/>
      <c r="L210" s="135"/>
      <c r="M210" s="266"/>
      <c r="N210" s="259"/>
      <c r="O210" s="1538"/>
      <c r="P210" s="1538"/>
    </row>
    <row r="211" spans="1:16" s="1859" customFormat="1" ht="0.75" hidden="1" customHeight="1">
      <c r="A211" s="1692"/>
      <c r="B211" s="1692"/>
      <c r="C211" s="296" t="s">
        <v>1031</v>
      </c>
      <c r="D211" s="2298"/>
      <c r="E211" s="2101"/>
      <c r="F211" s="2231"/>
      <c r="G211" s="333"/>
      <c r="H211" s="1412"/>
      <c r="I211" s="571"/>
      <c r="J211" s="495"/>
      <c r="K211" s="1412"/>
      <c r="L211" s="135"/>
      <c r="M211" s="266"/>
      <c r="N211" s="259"/>
      <c r="O211" s="1538"/>
      <c r="P211" s="1538"/>
    </row>
    <row r="212" spans="1:16" s="1859" customFormat="1" ht="18.75" hidden="1" customHeight="1">
      <c r="A212" s="1692" t="s">
        <v>161</v>
      </c>
      <c r="B212" s="1692" t="s">
        <v>162</v>
      </c>
      <c r="C212" s="296"/>
      <c r="D212" s="2298"/>
      <c r="E212" s="2101"/>
      <c r="F212" s="2231" t="str">
        <f>INDEX(PT_DIFFERENTIATION_VTAR,MATCH(A212,PT_DIFFERENTIATION_VTAR_ID,0))</f>
        <v>Тарифы на услуги по передаче тепловой энергии</v>
      </c>
      <c r="G212" s="2265" t="str">
        <f>INDEX(PT_DIFFERENTIATION_NTAR,MATCH(B212,PT_DIFFERENTIATION_NTAR_ID,0))</f>
        <v/>
      </c>
      <c r="H212" s="1774"/>
      <c r="I212" s="1651"/>
      <c r="J212" s="1685"/>
      <c r="K212" s="1690"/>
      <c r="L212" s="1774" t="s">
        <v>274</v>
      </c>
      <c r="M212" s="266"/>
      <c r="N212" s="259"/>
      <c r="O212" s="1538"/>
      <c r="P212" s="1538"/>
    </row>
    <row r="213" spans="1:16" s="1859" customFormat="1" ht="18.75" hidden="1" customHeight="1">
      <c r="A213" s="1692"/>
      <c r="B213" s="1692"/>
      <c r="C213" s="296" t="s">
        <v>1024</v>
      </c>
      <c r="D213" s="2298"/>
      <c r="E213" s="2101"/>
      <c r="F213" s="2231"/>
      <c r="G213" s="2265"/>
      <c r="H213" s="1412"/>
      <c r="I213" s="571" t="s">
        <v>1023</v>
      </c>
      <c r="J213" s="495"/>
      <c r="K213" s="1412"/>
      <c r="L213" s="135"/>
      <c r="M213" s="266"/>
      <c r="N213" s="259"/>
      <c r="O213" s="1538"/>
      <c r="P213" s="1538"/>
    </row>
    <row r="214" spans="1:16" s="1859" customFormat="1" ht="0.75" hidden="1" customHeight="1">
      <c r="A214" s="1692"/>
      <c r="B214" s="1692"/>
      <c r="C214" s="296" t="s">
        <v>1031</v>
      </c>
      <c r="D214" s="2298"/>
      <c r="E214" s="2101"/>
      <c r="F214" s="2231"/>
      <c r="G214" s="333"/>
      <c r="H214" s="1412"/>
      <c r="I214" s="571"/>
      <c r="J214" s="495"/>
      <c r="K214" s="1412"/>
      <c r="L214" s="135"/>
      <c r="M214" s="266"/>
      <c r="N214" s="259"/>
      <c r="O214" s="1538"/>
      <c r="P214" s="1538"/>
    </row>
    <row r="215" spans="1:16" s="1859" customFormat="1" ht="18.75" hidden="1" customHeight="1">
      <c r="A215" s="1692" t="s">
        <v>167</v>
      </c>
      <c r="B215" s="1692" t="s">
        <v>168</v>
      </c>
      <c r="C215" s="296"/>
      <c r="D215" s="2298"/>
      <c r="E215" s="2101"/>
      <c r="F215" s="2231" t="str">
        <f>INDEX(PT_DIFFERENTIATION_VTAR,MATCH(A215,PT_DIFFERENTIATION_VTAR_ID,0))</f>
        <v>Тарифы на услуги по передаче теплоносителя</v>
      </c>
      <c r="G215" s="2265" t="str">
        <f>INDEX(PT_DIFFERENTIATION_NTAR,MATCH(B215,PT_DIFFERENTIATION_NTAR_ID,0))</f>
        <v/>
      </c>
      <c r="H215" s="1774"/>
      <c r="I215" s="1651"/>
      <c r="J215" s="1685"/>
      <c r="K215" s="1690"/>
      <c r="L215" s="1774" t="s">
        <v>274</v>
      </c>
      <c r="M215" s="266"/>
      <c r="N215" s="259"/>
      <c r="O215" s="1538"/>
      <c r="P215" s="1538"/>
    </row>
    <row r="216" spans="1:16" s="1859" customFormat="1" ht="18.75" hidden="1" customHeight="1">
      <c r="A216" s="1692"/>
      <c r="B216" s="1692"/>
      <c r="C216" s="296" t="s">
        <v>1024</v>
      </c>
      <c r="D216" s="2298"/>
      <c r="E216" s="2101"/>
      <c r="F216" s="2231"/>
      <c r="G216" s="2265"/>
      <c r="H216" s="1412"/>
      <c r="I216" s="571" t="s">
        <v>1023</v>
      </c>
      <c r="J216" s="495"/>
      <c r="K216" s="1412"/>
      <c r="L216" s="135"/>
      <c r="M216" s="266"/>
      <c r="N216" s="259"/>
      <c r="O216" s="1538"/>
      <c r="P216" s="1538"/>
    </row>
    <row r="217" spans="1:16" s="1859" customFormat="1" ht="0.75" hidden="1" customHeight="1">
      <c r="A217" s="1692"/>
      <c r="B217" s="1692"/>
      <c r="C217" s="296" t="s">
        <v>1031</v>
      </c>
      <c r="D217" s="2298"/>
      <c r="E217" s="2101"/>
      <c r="F217" s="2231"/>
      <c r="G217" s="333"/>
      <c r="H217" s="1412"/>
      <c r="I217" s="571"/>
      <c r="J217" s="495"/>
      <c r="K217" s="1412"/>
      <c r="L217" s="135"/>
      <c r="M217" s="266"/>
      <c r="N217" s="259"/>
      <c r="O217" s="1538"/>
      <c r="P217" s="1538"/>
    </row>
    <row r="218" spans="1:16" s="1859" customFormat="1" ht="18.75" hidden="1" customHeight="1">
      <c r="A218" s="1692" t="s">
        <v>173</v>
      </c>
      <c r="B218" s="1692" t="s">
        <v>174</v>
      </c>
      <c r="C218" s="296"/>
      <c r="D218" s="2298"/>
      <c r="E218" s="2101"/>
      <c r="F218" s="2231"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265" t="str">
        <f>INDEX(PT_DIFFERENTIATION_NTAR,MATCH(B218,PT_DIFFERENTIATION_NTAR_ID,0))</f>
        <v/>
      </c>
      <c r="H218" s="1774"/>
      <c r="I218" s="1651"/>
      <c r="J218" s="1685"/>
      <c r="K218" s="1690"/>
      <c r="L218" s="1774" t="s">
        <v>274</v>
      </c>
      <c r="M218" s="266"/>
      <c r="N218" s="259"/>
      <c r="O218" s="1538"/>
      <c r="P218" s="1538"/>
    </row>
    <row r="219" spans="1:16" s="1859" customFormat="1" ht="18.75" hidden="1" customHeight="1">
      <c r="A219" s="1692"/>
      <c r="B219" s="1692"/>
      <c r="C219" s="296" t="s">
        <v>1024</v>
      </c>
      <c r="D219" s="2298"/>
      <c r="E219" s="2101"/>
      <c r="F219" s="2231"/>
      <c r="G219" s="2265"/>
      <c r="H219" s="1412"/>
      <c r="I219" s="571" t="s">
        <v>1023</v>
      </c>
      <c r="J219" s="495"/>
      <c r="K219" s="1412"/>
      <c r="L219" s="135"/>
      <c r="M219" s="266"/>
      <c r="N219" s="259"/>
      <c r="O219" s="1538"/>
      <c r="P219" s="1538"/>
    </row>
    <row r="220" spans="1:16" s="1859" customFormat="1" ht="0.75" hidden="1" customHeight="1">
      <c r="A220" s="1692"/>
      <c r="B220" s="1692"/>
      <c r="C220" s="296" t="s">
        <v>1031</v>
      </c>
      <c r="D220" s="2298"/>
      <c r="E220" s="2101"/>
      <c r="F220" s="2231"/>
      <c r="G220" s="333"/>
      <c r="H220" s="1412"/>
      <c r="I220" s="571"/>
      <c r="J220" s="495"/>
      <c r="K220" s="1412"/>
      <c r="L220" s="135"/>
      <c r="M220" s="266"/>
      <c r="N220" s="259"/>
      <c r="O220" s="1538"/>
      <c r="P220" s="1538"/>
    </row>
    <row r="221" spans="1:16" s="1859" customFormat="1" ht="18.75" hidden="1" customHeight="1">
      <c r="A221" s="1692" t="s">
        <v>179</v>
      </c>
      <c r="B221" s="1692" t="s">
        <v>180</v>
      </c>
      <c r="C221" s="296"/>
      <c r="D221" s="2298"/>
      <c r="E221" s="2101"/>
      <c r="F221" s="2231" t="str">
        <f>INDEX(PT_DIFFERENTIATION_VTAR,MATCH(A221,PT_DIFFERENTIATION_VTAR_ID,0))</f>
        <v>Плата за подключение (технологическое присоединение) к системе теплоснабжения</v>
      </c>
      <c r="G221" s="2265" t="str">
        <f>INDEX(PT_DIFFERENTIATION_NTAR,MATCH(B221,PT_DIFFERENTIATION_NTAR_ID,0))</f>
        <v/>
      </c>
      <c r="H221" s="1774"/>
      <c r="I221" s="1651"/>
      <c r="J221" s="1685"/>
      <c r="K221" s="1690"/>
      <c r="L221" s="1774" t="s">
        <v>274</v>
      </c>
      <c r="M221" s="266"/>
      <c r="N221" s="259"/>
      <c r="O221" s="1538"/>
      <c r="P221" s="1538"/>
    </row>
    <row r="222" spans="1:16" s="1859" customFormat="1" ht="18.75" hidden="1" customHeight="1">
      <c r="A222" s="1692"/>
      <c r="B222" s="1692"/>
      <c r="C222" s="296" t="s">
        <v>1024</v>
      </c>
      <c r="D222" s="2298"/>
      <c r="E222" s="2101"/>
      <c r="F222" s="2231"/>
      <c r="G222" s="2265"/>
      <c r="H222" s="1412"/>
      <c r="I222" s="571" t="s">
        <v>1023</v>
      </c>
      <c r="J222" s="495"/>
      <c r="K222" s="1412"/>
      <c r="L222" s="135"/>
      <c r="M222" s="266"/>
      <c r="N222" s="259"/>
      <c r="O222" s="1538"/>
      <c r="P222" s="1538"/>
    </row>
    <row r="223" spans="1:16" s="1859" customFormat="1" ht="0.75" hidden="1" customHeight="1">
      <c r="A223" s="1692"/>
      <c r="B223" s="1692"/>
      <c r="C223" s="296" t="s">
        <v>1031</v>
      </c>
      <c r="D223" s="2298"/>
      <c r="E223" s="2101"/>
      <c r="F223" s="2231"/>
      <c r="G223" s="333"/>
      <c r="H223" s="1412"/>
      <c r="I223" s="571"/>
      <c r="J223" s="495"/>
      <c r="K223" s="1412"/>
      <c r="L223" s="135"/>
      <c r="M223" s="266"/>
      <c r="N223" s="259"/>
      <c r="O223" s="1538"/>
      <c r="P223" s="1538"/>
    </row>
    <row r="224" spans="1:16" s="1859" customFormat="1" ht="18.75" hidden="1" customHeight="1">
      <c r="A224" s="1692" t="s">
        <v>193</v>
      </c>
      <c r="B224" s="1692" t="s">
        <v>194</v>
      </c>
      <c r="C224" s="296"/>
      <c r="D224" s="2298"/>
      <c r="E224" s="2101"/>
      <c r="F224" s="2231" t="str">
        <f>INDEX(PT_DIFFERENTIATION_VTAR,MATCH(A224,PT_DIFFERENTIATION_VTAR_ID,0))</f>
        <v>Тариф на питьевую воду (питьевое водоснабжение)</v>
      </c>
      <c r="G224" s="2265" t="str">
        <f>INDEX(PT_DIFFERENTIATION_NTAR,MATCH(B224,PT_DIFFERENTIATION_NTAR_ID,0))</f>
        <v/>
      </c>
      <c r="H224" s="1774"/>
      <c r="I224" s="1651"/>
      <c r="J224" s="1685"/>
      <c r="K224" s="1690"/>
      <c r="L224" s="1774" t="s">
        <v>274</v>
      </c>
      <c r="M224" s="266"/>
      <c r="N224" s="259"/>
      <c r="O224" s="1538"/>
      <c r="P224" s="1538"/>
    </row>
    <row r="225" spans="1:16" s="1859" customFormat="1" ht="18.75" hidden="1" customHeight="1">
      <c r="A225" s="1692"/>
      <c r="B225" s="1692"/>
      <c r="C225" s="296" t="s">
        <v>1024</v>
      </c>
      <c r="D225" s="2298"/>
      <c r="E225" s="2101"/>
      <c r="F225" s="2231"/>
      <c r="G225" s="2265"/>
      <c r="H225" s="1412"/>
      <c r="I225" s="571" t="s">
        <v>1023</v>
      </c>
      <c r="J225" s="495"/>
      <c r="K225" s="1412"/>
      <c r="L225" s="135"/>
      <c r="M225" s="266"/>
      <c r="N225" s="259"/>
      <c r="O225" s="1538"/>
      <c r="P225" s="1538"/>
    </row>
    <row r="226" spans="1:16" s="1859" customFormat="1" ht="0.75" hidden="1" customHeight="1">
      <c r="A226" s="1692"/>
      <c r="B226" s="1692"/>
      <c r="C226" s="296" t="s">
        <v>1031</v>
      </c>
      <c r="D226" s="2298"/>
      <c r="E226" s="2101"/>
      <c r="F226" s="2231"/>
      <c r="G226" s="333"/>
      <c r="H226" s="1412"/>
      <c r="I226" s="571"/>
      <c r="J226" s="495"/>
      <c r="K226" s="1412"/>
      <c r="L226" s="135"/>
      <c r="M226" s="266"/>
      <c r="N226" s="259"/>
      <c r="O226" s="1538"/>
      <c r="P226" s="1538"/>
    </row>
    <row r="227" spans="1:16" s="1859" customFormat="1" ht="18.75" hidden="1" customHeight="1">
      <c r="A227" s="1692" t="s">
        <v>198</v>
      </c>
      <c r="B227" s="1692" t="s">
        <v>199</v>
      </c>
      <c r="C227" s="296"/>
      <c r="D227" s="2298"/>
      <c r="E227" s="2101"/>
      <c r="F227" s="2231" t="str">
        <f>INDEX(PT_DIFFERENTIATION_VTAR,MATCH(A227,PT_DIFFERENTIATION_VTAR_ID,0))</f>
        <v>Тариф на техническую воду</v>
      </c>
      <c r="G227" s="2265" t="str">
        <f>INDEX(PT_DIFFERENTIATION_NTAR,MATCH(B227,PT_DIFFERENTIATION_NTAR_ID,0))</f>
        <v/>
      </c>
      <c r="H227" s="1774"/>
      <c r="I227" s="1651"/>
      <c r="J227" s="1685"/>
      <c r="K227" s="1690"/>
      <c r="L227" s="1774" t="s">
        <v>274</v>
      </c>
      <c r="M227" s="266"/>
      <c r="N227" s="259"/>
      <c r="O227" s="1538"/>
      <c r="P227" s="1538"/>
    </row>
    <row r="228" spans="1:16" s="1859" customFormat="1" ht="18.75" hidden="1" customHeight="1">
      <c r="A228" s="1692"/>
      <c r="B228" s="1692"/>
      <c r="C228" s="296" t="s">
        <v>1024</v>
      </c>
      <c r="D228" s="2298"/>
      <c r="E228" s="2101"/>
      <c r="F228" s="2231"/>
      <c r="G228" s="2265"/>
      <c r="H228" s="1412"/>
      <c r="I228" s="571" t="s">
        <v>1023</v>
      </c>
      <c r="J228" s="495"/>
      <c r="K228" s="1412"/>
      <c r="L228" s="135"/>
      <c r="M228" s="266"/>
      <c r="N228" s="259"/>
      <c r="O228" s="1538"/>
      <c r="P228" s="1538"/>
    </row>
    <row r="229" spans="1:16" s="1859" customFormat="1" ht="0.75" hidden="1" customHeight="1">
      <c r="A229" s="1692"/>
      <c r="B229" s="1692"/>
      <c r="C229" s="296" t="s">
        <v>1031</v>
      </c>
      <c r="D229" s="2298"/>
      <c r="E229" s="2101"/>
      <c r="F229" s="2231"/>
      <c r="G229" s="333"/>
      <c r="H229" s="1412"/>
      <c r="I229" s="571"/>
      <c r="J229" s="495"/>
      <c r="K229" s="1412"/>
      <c r="L229" s="135"/>
      <c r="M229" s="266"/>
      <c r="N229" s="259"/>
      <c r="O229" s="1538"/>
      <c r="P229" s="1538"/>
    </row>
    <row r="230" spans="1:16" s="1859" customFormat="1" ht="18.75" hidden="1" customHeight="1">
      <c r="A230" s="1692" t="s">
        <v>203</v>
      </c>
      <c r="B230" s="1692" t="s">
        <v>204</v>
      </c>
      <c r="C230" s="296"/>
      <c r="D230" s="2298"/>
      <c r="E230" s="2101"/>
      <c r="F230" s="2231" t="str">
        <f>INDEX(PT_DIFFERENTIATION_VTAR,MATCH(A230,PT_DIFFERENTIATION_VTAR_ID,0))</f>
        <v>Тариф на транспортировку воды</v>
      </c>
      <c r="G230" s="2265" t="str">
        <f>INDEX(PT_DIFFERENTIATION_NTAR,MATCH(B230,PT_DIFFERENTIATION_NTAR_ID,0))</f>
        <v/>
      </c>
      <c r="H230" s="1774"/>
      <c r="I230" s="1651"/>
      <c r="J230" s="1685"/>
      <c r="K230" s="1690"/>
      <c r="L230" s="1774" t="s">
        <v>274</v>
      </c>
      <c r="M230" s="266"/>
      <c r="N230" s="259"/>
      <c r="O230" s="1538"/>
      <c r="P230" s="1538"/>
    </row>
    <row r="231" spans="1:16" s="1859" customFormat="1" ht="18.75" hidden="1" customHeight="1">
      <c r="A231" s="1692"/>
      <c r="B231" s="1692"/>
      <c r="C231" s="296" t="s">
        <v>1024</v>
      </c>
      <c r="D231" s="2298"/>
      <c r="E231" s="2101"/>
      <c r="F231" s="2231"/>
      <c r="G231" s="2265"/>
      <c r="H231" s="1412"/>
      <c r="I231" s="571" t="s">
        <v>1023</v>
      </c>
      <c r="J231" s="495"/>
      <c r="K231" s="1412"/>
      <c r="L231" s="135"/>
      <c r="M231" s="266"/>
      <c r="N231" s="259"/>
      <c r="O231" s="1538"/>
      <c r="P231" s="1538"/>
    </row>
    <row r="232" spans="1:16" s="1859" customFormat="1" ht="0.75" hidden="1" customHeight="1">
      <c r="A232" s="1692"/>
      <c r="B232" s="1692"/>
      <c r="C232" s="296" t="s">
        <v>1031</v>
      </c>
      <c r="D232" s="2298"/>
      <c r="E232" s="2101"/>
      <c r="F232" s="2231"/>
      <c r="G232" s="333"/>
      <c r="H232" s="1412"/>
      <c r="I232" s="571"/>
      <c r="J232" s="495"/>
      <c r="K232" s="1412"/>
      <c r="L232" s="135"/>
      <c r="M232" s="266"/>
      <c r="N232" s="259"/>
      <c r="O232" s="1538"/>
      <c r="P232" s="1538"/>
    </row>
    <row r="233" spans="1:16" s="1859" customFormat="1" ht="18.75" hidden="1" customHeight="1">
      <c r="A233" s="1692" t="s">
        <v>208</v>
      </c>
      <c r="B233" s="1692" t="s">
        <v>209</v>
      </c>
      <c r="C233" s="296"/>
      <c r="D233" s="2298"/>
      <c r="E233" s="2101"/>
      <c r="F233" s="2231" t="str">
        <f>INDEX(PT_DIFFERENTIATION_VTAR,MATCH(A233,PT_DIFFERENTIATION_VTAR_ID,0))</f>
        <v>Тариф на подвоз воды</v>
      </c>
      <c r="G233" s="2265" t="str">
        <f>INDEX(PT_DIFFERENTIATION_NTAR,MATCH(B233,PT_DIFFERENTIATION_NTAR_ID,0))</f>
        <v/>
      </c>
      <c r="H233" s="1774"/>
      <c r="I233" s="1651"/>
      <c r="J233" s="1685"/>
      <c r="K233" s="1690"/>
      <c r="L233" s="1774" t="s">
        <v>274</v>
      </c>
      <c r="M233" s="266"/>
      <c r="N233" s="259"/>
      <c r="O233" s="1538"/>
      <c r="P233" s="1538"/>
    </row>
    <row r="234" spans="1:16" s="1859" customFormat="1" ht="18.75" hidden="1" customHeight="1">
      <c r="A234" s="1692"/>
      <c r="B234" s="1692"/>
      <c r="C234" s="296" t="s">
        <v>1024</v>
      </c>
      <c r="D234" s="2298"/>
      <c r="E234" s="2101"/>
      <c r="F234" s="2231"/>
      <c r="G234" s="2265"/>
      <c r="H234" s="1412"/>
      <c r="I234" s="571" t="s">
        <v>1023</v>
      </c>
      <c r="J234" s="495"/>
      <c r="K234" s="1412"/>
      <c r="L234" s="135"/>
      <c r="M234" s="266"/>
      <c r="N234" s="259"/>
      <c r="O234" s="1538"/>
      <c r="P234" s="1538"/>
    </row>
    <row r="235" spans="1:16" s="1859" customFormat="1" ht="0.75" hidden="1" customHeight="1">
      <c r="A235" s="1692"/>
      <c r="B235" s="1692"/>
      <c r="C235" s="296" t="s">
        <v>1031</v>
      </c>
      <c r="D235" s="2298"/>
      <c r="E235" s="2101"/>
      <c r="F235" s="2231"/>
      <c r="G235" s="333"/>
      <c r="H235" s="1412"/>
      <c r="I235" s="571"/>
      <c r="J235" s="495"/>
      <c r="K235" s="1412"/>
      <c r="L235" s="135"/>
      <c r="M235" s="266"/>
      <c r="N235" s="259"/>
      <c r="O235" s="1538"/>
      <c r="P235" s="1538"/>
    </row>
    <row r="236" spans="1:16" s="1859" customFormat="1" ht="18.75" hidden="1" customHeight="1">
      <c r="A236" s="1692" t="s">
        <v>213</v>
      </c>
      <c r="B236" s="1692" t="s">
        <v>214</v>
      </c>
      <c r="C236" s="296"/>
      <c r="D236" s="2298"/>
      <c r="E236" s="2101"/>
      <c r="F236" s="2231" t="str">
        <f>INDEX(PT_DIFFERENTIATION_VTAR,MATCH(A236,PT_DIFFERENTIATION_VTAR_ID,0))</f>
        <v>Тариф на подключение (технологическое присоединение) к централизованной системе холодного водоснабжения</v>
      </c>
      <c r="G236" s="2265" t="str">
        <f>INDEX(PT_DIFFERENTIATION_NTAR,MATCH(B236,PT_DIFFERENTIATION_NTAR_ID,0))</f>
        <v/>
      </c>
      <c r="H236" s="1774"/>
      <c r="I236" s="1651"/>
      <c r="J236" s="1685"/>
      <c r="K236" s="1690"/>
      <c r="L236" s="1774" t="s">
        <v>274</v>
      </c>
      <c r="M236" s="266"/>
      <c r="N236" s="259"/>
      <c r="O236" s="1538"/>
      <c r="P236" s="1538"/>
    </row>
    <row r="237" spans="1:16" s="1859" customFormat="1" ht="18.75" hidden="1" customHeight="1">
      <c r="A237" s="1692"/>
      <c r="B237" s="1692"/>
      <c r="C237" s="296" t="s">
        <v>1024</v>
      </c>
      <c r="D237" s="2298"/>
      <c r="E237" s="2101"/>
      <c r="F237" s="2231"/>
      <c r="G237" s="2265"/>
      <c r="H237" s="1412"/>
      <c r="I237" s="571" t="s">
        <v>1023</v>
      </c>
      <c r="J237" s="495"/>
      <c r="K237" s="1412"/>
      <c r="L237" s="135"/>
      <c r="M237" s="266"/>
      <c r="N237" s="259"/>
      <c r="O237" s="1538"/>
      <c r="P237" s="1538"/>
    </row>
    <row r="238" spans="1:16" s="1859" customFormat="1" ht="0.75" hidden="1" customHeight="1">
      <c r="A238" s="1692"/>
      <c r="B238" s="1692"/>
      <c r="C238" s="296" t="s">
        <v>1031</v>
      </c>
      <c r="D238" s="2298"/>
      <c r="E238" s="2101"/>
      <c r="F238" s="2231"/>
      <c r="G238" s="333"/>
      <c r="H238" s="1412"/>
      <c r="I238" s="571"/>
      <c r="J238" s="495"/>
      <c r="K238" s="1412"/>
      <c r="L238" s="135"/>
      <c r="M238" s="266"/>
      <c r="N238" s="259"/>
      <c r="O238" s="1538"/>
      <c r="P238" s="1538"/>
    </row>
    <row r="239" spans="1:16" s="1859" customFormat="1" ht="18.75" hidden="1" customHeight="1">
      <c r="A239" s="1692" t="s">
        <v>218</v>
      </c>
      <c r="B239" s="1692" t="s">
        <v>219</v>
      </c>
      <c r="C239" s="296"/>
      <c r="D239" s="2298"/>
      <c r="E239" s="2101"/>
      <c r="F239" s="2231" t="str">
        <f>INDEX(PT_DIFFERENTIATION_VTAR,MATCH(A239,PT_DIFFERENTIATION_VTAR_ID,0))</f>
        <v>Тариф на горячую воду (горячее водоснабжение)</v>
      </c>
      <c r="G239" s="2265" t="str">
        <f>INDEX(PT_DIFFERENTIATION_NTAR,MATCH(B239,PT_DIFFERENTIATION_NTAR_ID,0))</f>
        <v/>
      </c>
      <c r="H239" s="1774"/>
      <c r="I239" s="1651"/>
      <c r="J239" s="1685"/>
      <c r="K239" s="1690"/>
      <c r="L239" s="1774" t="s">
        <v>274</v>
      </c>
      <c r="M239" s="266"/>
      <c r="N239" s="259"/>
      <c r="O239" s="1538"/>
      <c r="P239" s="1538"/>
    </row>
    <row r="240" spans="1:16" s="1859" customFormat="1" ht="18.75" hidden="1" customHeight="1">
      <c r="A240" s="1692"/>
      <c r="B240" s="1692"/>
      <c r="C240" s="296" t="s">
        <v>1024</v>
      </c>
      <c r="D240" s="2298"/>
      <c r="E240" s="2101"/>
      <c r="F240" s="2231"/>
      <c r="G240" s="2265"/>
      <c r="H240" s="1412"/>
      <c r="I240" s="571" t="s">
        <v>1023</v>
      </c>
      <c r="J240" s="495"/>
      <c r="K240" s="1412"/>
      <c r="L240" s="135"/>
      <c r="M240" s="266"/>
      <c r="N240" s="259"/>
      <c r="O240" s="1538"/>
      <c r="P240" s="1538"/>
    </row>
    <row r="241" spans="1:16" s="1859" customFormat="1" ht="0.75" hidden="1" customHeight="1">
      <c r="A241" s="1692"/>
      <c r="B241" s="1692"/>
      <c r="C241" s="296" t="s">
        <v>1031</v>
      </c>
      <c r="D241" s="2298"/>
      <c r="E241" s="2101"/>
      <c r="F241" s="2231"/>
      <c r="G241" s="333"/>
      <c r="H241" s="1412"/>
      <c r="I241" s="571"/>
      <c r="J241" s="495"/>
      <c r="K241" s="1412"/>
      <c r="L241" s="135"/>
      <c r="M241" s="266"/>
      <c r="N241" s="259"/>
      <c r="O241" s="1538"/>
      <c r="P241" s="1538"/>
    </row>
    <row r="242" spans="1:16" s="1859" customFormat="1" ht="18.75" hidden="1" customHeight="1">
      <c r="A242" s="1692" t="s">
        <v>223</v>
      </c>
      <c r="B242" s="1692" t="s">
        <v>224</v>
      </c>
      <c r="C242" s="296"/>
      <c r="D242" s="2298"/>
      <c r="E242" s="2101"/>
      <c r="F242" s="2231" t="str">
        <f>INDEX(PT_DIFFERENTIATION_VTAR,MATCH(A242,PT_DIFFERENTIATION_VTAR_ID,0))</f>
        <v>Тариф на транспортировку горячей воды</v>
      </c>
      <c r="G242" s="2265" t="str">
        <f>INDEX(PT_DIFFERENTIATION_NTAR,MATCH(B242,PT_DIFFERENTIATION_NTAR_ID,0))</f>
        <v/>
      </c>
      <c r="H242" s="1774"/>
      <c r="I242" s="1651"/>
      <c r="J242" s="1685"/>
      <c r="K242" s="1690"/>
      <c r="L242" s="1774" t="s">
        <v>274</v>
      </c>
      <c r="M242" s="266"/>
      <c r="N242" s="259"/>
      <c r="O242" s="1538"/>
      <c r="P242" s="1538"/>
    </row>
    <row r="243" spans="1:16" s="1859" customFormat="1" ht="18.75" hidden="1" customHeight="1">
      <c r="A243" s="1692"/>
      <c r="B243" s="1692"/>
      <c r="C243" s="296" t="s">
        <v>1024</v>
      </c>
      <c r="D243" s="2298"/>
      <c r="E243" s="2101"/>
      <c r="F243" s="2231"/>
      <c r="G243" s="2265"/>
      <c r="H243" s="1412"/>
      <c r="I243" s="571" t="s">
        <v>1023</v>
      </c>
      <c r="J243" s="495"/>
      <c r="K243" s="1412"/>
      <c r="L243" s="135"/>
      <c r="M243" s="266"/>
      <c r="N243" s="259"/>
      <c r="O243" s="1538"/>
      <c r="P243" s="1538"/>
    </row>
    <row r="244" spans="1:16" s="1859" customFormat="1" ht="0.75" hidden="1" customHeight="1">
      <c r="A244" s="1692"/>
      <c r="B244" s="1692"/>
      <c r="C244" s="296" t="s">
        <v>1031</v>
      </c>
      <c r="D244" s="2298"/>
      <c r="E244" s="2101"/>
      <c r="F244" s="2231"/>
      <c r="G244" s="333"/>
      <c r="H244" s="1412"/>
      <c r="I244" s="571"/>
      <c r="J244" s="495"/>
      <c r="K244" s="1412"/>
      <c r="L244" s="135"/>
      <c r="M244" s="266"/>
      <c r="N244" s="259"/>
      <c r="O244" s="1538"/>
      <c r="P244" s="1538"/>
    </row>
    <row r="245" spans="1:16" s="1859" customFormat="1" ht="18.75" hidden="1" customHeight="1">
      <c r="A245" s="1692" t="s">
        <v>228</v>
      </c>
      <c r="B245" s="1692" t="s">
        <v>229</v>
      </c>
      <c r="C245" s="296"/>
      <c r="D245" s="2298"/>
      <c r="E245" s="2101"/>
      <c r="F245" s="2231" t="str">
        <f>INDEX(PT_DIFFERENTIATION_VTAR,MATCH(A245,PT_DIFFERENTIATION_VTAR_ID,0))</f>
        <v>Тариф на подключение (технологическое присоединение) к централизованной системе горячего водоснабжения</v>
      </c>
      <c r="G245" s="2265" t="str">
        <f>INDEX(PT_DIFFERENTIATION_NTAR,MATCH(B245,PT_DIFFERENTIATION_NTAR_ID,0))</f>
        <v/>
      </c>
      <c r="H245" s="1774"/>
      <c r="I245" s="1651"/>
      <c r="J245" s="1685"/>
      <c r="K245" s="1690"/>
      <c r="L245" s="1774" t="s">
        <v>274</v>
      </c>
      <c r="M245" s="266"/>
      <c r="N245" s="259"/>
      <c r="O245" s="1538"/>
      <c r="P245" s="1538"/>
    </row>
    <row r="246" spans="1:16" s="1859" customFormat="1" ht="18.75" hidden="1" customHeight="1">
      <c r="A246" s="1692"/>
      <c r="B246" s="1692"/>
      <c r="C246" s="296" t="s">
        <v>1024</v>
      </c>
      <c r="D246" s="2298"/>
      <c r="E246" s="2101"/>
      <c r="F246" s="2231"/>
      <c r="G246" s="2265"/>
      <c r="H246" s="1412"/>
      <c r="I246" s="571" t="s">
        <v>1023</v>
      </c>
      <c r="J246" s="495"/>
      <c r="K246" s="1412"/>
      <c r="L246" s="135"/>
      <c r="M246" s="266"/>
      <c r="N246" s="259"/>
      <c r="O246" s="1538"/>
      <c r="P246" s="1538"/>
    </row>
    <row r="247" spans="1:16" s="1859" customFormat="1" ht="0.75" hidden="1" customHeight="1">
      <c r="A247" s="1692"/>
      <c r="B247" s="1692"/>
      <c r="C247" s="296" t="s">
        <v>1031</v>
      </c>
      <c r="D247" s="2298"/>
      <c r="E247" s="2101"/>
      <c r="F247" s="2231"/>
      <c r="G247" s="333"/>
      <c r="H247" s="1412"/>
      <c r="I247" s="571"/>
      <c r="J247" s="495"/>
      <c r="K247" s="1412"/>
      <c r="L247" s="135"/>
      <c r="M247" s="266"/>
      <c r="N247" s="259"/>
      <c r="O247" s="1538"/>
      <c r="P247" s="1538"/>
    </row>
    <row r="248" spans="1:16" s="1859" customFormat="1" ht="18.75" hidden="1" customHeight="1">
      <c r="A248" s="1692" t="s">
        <v>233</v>
      </c>
      <c r="B248" s="1692" t="s">
        <v>234</v>
      </c>
      <c r="C248" s="296"/>
      <c r="D248" s="2298"/>
      <c r="E248" s="2101"/>
      <c r="F248" s="2231" t="str">
        <f>INDEX(PT_DIFFERENTIATION_VTAR,MATCH(A248,PT_DIFFERENTIATION_VTAR_ID,0))</f>
        <v>Тариф на водоотведение</v>
      </c>
      <c r="G248" s="2265" t="str">
        <f>INDEX(PT_DIFFERENTIATION_NTAR,MATCH(B248,PT_DIFFERENTIATION_NTAR_ID,0))</f>
        <v/>
      </c>
      <c r="H248" s="1774"/>
      <c r="I248" s="1651"/>
      <c r="J248" s="1685"/>
      <c r="K248" s="1690"/>
      <c r="L248" s="1774" t="s">
        <v>274</v>
      </c>
      <c r="M248" s="266"/>
      <c r="N248" s="259"/>
      <c r="O248" s="1538"/>
      <c r="P248" s="1538"/>
    </row>
    <row r="249" spans="1:16" s="1859" customFormat="1" ht="18.75" hidden="1" customHeight="1">
      <c r="A249" s="1692"/>
      <c r="B249" s="1692"/>
      <c r="C249" s="296" t="s">
        <v>1024</v>
      </c>
      <c r="D249" s="2298"/>
      <c r="E249" s="2101"/>
      <c r="F249" s="2231"/>
      <c r="G249" s="2265"/>
      <c r="H249" s="1412"/>
      <c r="I249" s="571" t="s">
        <v>1023</v>
      </c>
      <c r="J249" s="495"/>
      <c r="K249" s="1412"/>
      <c r="L249" s="135"/>
      <c r="M249" s="266"/>
      <c r="N249" s="259"/>
      <c r="O249" s="1538"/>
      <c r="P249" s="1538"/>
    </row>
    <row r="250" spans="1:16" s="1859" customFormat="1" ht="0.75" hidden="1" customHeight="1">
      <c r="A250" s="1692"/>
      <c r="B250" s="1692"/>
      <c r="C250" s="296" t="s">
        <v>1031</v>
      </c>
      <c r="D250" s="2298"/>
      <c r="E250" s="2101"/>
      <c r="F250" s="2231"/>
      <c r="G250" s="333"/>
      <c r="H250" s="1412"/>
      <c r="I250" s="571"/>
      <c r="J250" s="495"/>
      <c r="K250" s="1412"/>
      <c r="L250" s="135"/>
      <c r="M250" s="266"/>
      <c r="N250" s="259"/>
      <c r="O250" s="1538"/>
      <c r="P250" s="1538"/>
    </row>
    <row r="251" spans="1:16" s="1859" customFormat="1" ht="18.75" hidden="1" customHeight="1">
      <c r="A251" s="1692" t="s">
        <v>238</v>
      </c>
      <c r="B251" s="1692" t="s">
        <v>239</v>
      </c>
      <c r="C251" s="296"/>
      <c r="D251" s="2298"/>
      <c r="E251" s="2101"/>
      <c r="F251" s="2231" t="str">
        <f>INDEX(PT_DIFFERENTIATION_VTAR,MATCH(A251,PT_DIFFERENTIATION_VTAR_ID,0))</f>
        <v>Тариф на транспортировку сточных вод</v>
      </c>
      <c r="G251" s="2265" t="str">
        <f>INDEX(PT_DIFFERENTIATION_NTAR,MATCH(B251,PT_DIFFERENTIATION_NTAR_ID,0))</f>
        <v/>
      </c>
      <c r="H251" s="1774"/>
      <c r="I251" s="1651"/>
      <c r="J251" s="1685"/>
      <c r="K251" s="1690"/>
      <c r="L251" s="1774" t="s">
        <v>274</v>
      </c>
      <c r="M251" s="266"/>
      <c r="N251" s="259"/>
      <c r="O251" s="1538"/>
      <c r="P251" s="1538"/>
    </row>
    <row r="252" spans="1:16" s="1859" customFormat="1" ht="18.75" hidden="1" customHeight="1">
      <c r="A252" s="1692"/>
      <c r="B252" s="1692"/>
      <c r="C252" s="296" t="s">
        <v>1024</v>
      </c>
      <c r="D252" s="2298"/>
      <c r="E252" s="2101"/>
      <c r="F252" s="2231"/>
      <c r="G252" s="2265"/>
      <c r="H252" s="1412"/>
      <c r="I252" s="571" t="s">
        <v>1023</v>
      </c>
      <c r="J252" s="495"/>
      <c r="K252" s="1412"/>
      <c r="L252" s="135"/>
      <c r="M252" s="266"/>
      <c r="N252" s="259"/>
      <c r="O252" s="1538"/>
      <c r="P252" s="1538"/>
    </row>
    <row r="253" spans="1:16" s="1859" customFormat="1" ht="0.75" hidden="1" customHeight="1">
      <c r="A253" s="1692"/>
      <c r="B253" s="1692"/>
      <c r="C253" s="296" t="s">
        <v>1031</v>
      </c>
      <c r="D253" s="2298"/>
      <c r="E253" s="2101"/>
      <c r="F253" s="2231"/>
      <c r="G253" s="333"/>
      <c r="H253" s="1412"/>
      <c r="I253" s="571"/>
      <c r="J253" s="495"/>
      <c r="K253" s="1412"/>
      <c r="L253" s="135"/>
      <c r="M253" s="266"/>
      <c r="N253" s="259"/>
      <c r="O253" s="1538"/>
      <c r="P253" s="1538"/>
    </row>
    <row r="254" spans="1:16" s="1859" customFormat="1" ht="18.75" hidden="1" customHeight="1">
      <c r="A254" s="1692" t="s">
        <v>243</v>
      </c>
      <c r="B254" s="1692" t="s">
        <v>244</v>
      </c>
      <c r="C254" s="296"/>
      <c r="D254" s="2298"/>
      <c r="E254" s="2101"/>
      <c r="F254" s="2231" t="str">
        <f>INDEX(PT_DIFFERENTIATION_VTAR,MATCH(A254,PT_DIFFERENTIATION_VTAR_ID,0))</f>
        <v>Тариф на подключение (технологическое присоединение) к централизованной системе водоотведения</v>
      </c>
      <c r="G254" s="2265" t="str">
        <f>INDEX(PT_DIFFERENTIATION_NTAR,MATCH(B254,PT_DIFFERENTIATION_NTAR_ID,0))</f>
        <v/>
      </c>
      <c r="H254" s="1774"/>
      <c r="I254" s="1651"/>
      <c r="J254" s="1685"/>
      <c r="K254" s="1690"/>
      <c r="L254" s="1774" t="s">
        <v>274</v>
      </c>
      <c r="M254" s="266"/>
      <c r="N254" s="259"/>
      <c r="O254" s="1538"/>
      <c r="P254" s="1538"/>
    </row>
    <row r="255" spans="1:16" s="1859" customFormat="1" ht="18.75" hidden="1" customHeight="1">
      <c r="A255" s="1692"/>
      <c r="B255" s="1692"/>
      <c r="C255" s="296" t="s">
        <v>1024</v>
      </c>
      <c r="D255" s="2298"/>
      <c r="E255" s="2101"/>
      <c r="F255" s="2231"/>
      <c r="G255" s="2265"/>
      <c r="H255" s="1412"/>
      <c r="I255" s="571" t="s">
        <v>1023</v>
      </c>
      <c r="J255" s="495"/>
      <c r="K255" s="1412"/>
      <c r="L255" s="135"/>
      <c r="M255" s="266"/>
      <c r="N255" s="259"/>
      <c r="O255" s="1538"/>
      <c r="P255" s="1538"/>
    </row>
    <row r="256" spans="1:16" s="1859" customFormat="1" ht="0.75" customHeight="1">
      <c r="A256" s="1692"/>
      <c r="B256" s="1692"/>
      <c r="C256" s="296" t="s">
        <v>1031</v>
      </c>
      <c r="D256" s="2298"/>
      <c r="E256" s="2101"/>
      <c r="F256" s="2231"/>
      <c r="G256" s="333"/>
      <c r="H256" s="1412"/>
      <c r="I256" s="571"/>
      <c r="J256" s="495"/>
      <c r="K256" s="1412"/>
      <c r="L256" s="135"/>
      <c r="M256" s="266"/>
      <c r="N256" s="259"/>
      <c r="O256" s="1538"/>
      <c r="P256" s="1538"/>
    </row>
    <row r="257" spans="1:16" ht="25.5" customHeight="1">
      <c r="A257" s="1692"/>
      <c r="B257" s="1692"/>
      <c r="D257" s="304"/>
      <c r="E257" s="71" t="s">
        <v>77</v>
      </c>
      <c r="F257" s="229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57" s="2292"/>
      <c r="H257" s="2292"/>
      <c r="I257" s="2292"/>
      <c r="J257" s="2292"/>
      <c r="K257" s="2292"/>
      <c r="L257" s="2292"/>
      <c r="M257" s="214"/>
      <c r="N257" s="259"/>
    </row>
    <row r="258" spans="1:16" s="1859" customFormat="1" ht="60.75" hidden="1" customHeight="1">
      <c r="A258" s="1692" t="s">
        <v>137</v>
      </c>
      <c r="B258" s="1692" t="s">
        <v>138</v>
      </c>
      <c r="C258" s="296"/>
      <c r="D258" s="2298"/>
      <c r="E258" s="2101"/>
      <c r="F258" s="2231"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265" t="str">
        <f>INDEX(PT_DIFFERENTIATION_NTAR,MATCH(B258,PT_DIFFERENTIATION_NTAR_ID,0))</f>
        <v/>
      </c>
      <c r="H258" s="1774"/>
      <c r="I258" s="1651"/>
      <c r="J258" s="1685"/>
      <c r="K258" s="1690"/>
      <c r="L258" s="1774" t="s">
        <v>274</v>
      </c>
      <c r="M258" s="206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259"/>
      <c r="O258" s="1538"/>
      <c r="P258" s="1538"/>
    </row>
    <row r="259" spans="1:16" s="1859" customFormat="1" ht="18.75" hidden="1" customHeight="1">
      <c r="A259" s="1692"/>
      <c r="B259" s="1692"/>
      <c r="C259" s="296" t="s">
        <v>1024</v>
      </c>
      <c r="D259" s="2298"/>
      <c r="E259" s="2101"/>
      <c r="F259" s="2231"/>
      <c r="G259" s="2265"/>
      <c r="H259" s="1412"/>
      <c r="I259" s="571" t="s">
        <v>1023</v>
      </c>
      <c r="J259" s="495"/>
      <c r="K259" s="1412"/>
      <c r="L259" s="135"/>
      <c r="M259" s="2064"/>
      <c r="N259" s="259"/>
      <c r="O259" s="1538"/>
      <c r="P259" s="1538"/>
    </row>
    <row r="260" spans="1:16" s="1859" customFormat="1" ht="0.75" hidden="1" customHeight="1">
      <c r="A260" s="1692"/>
      <c r="B260" s="1692"/>
      <c r="C260" s="296" t="s">
        <v>1031</v>
      </c>
      <c r="D260" s="2298"/>
      <c r="E260" s="2101"/>
      <c r="F260" s="2231"/>
      <c r="G260" s="333"/>
      <c r="H260" s="1412"/>
      <c r="I260" s="571"/>
      <c r="J260" s="495"/>
      <c r="K260" s="1412"/>
      <c r="L260" s="135"/>
      <c r="M260" s="2064"/>
      <c r="N260" s="259"/>
      <c r="O260" s="1538"/>
      <c r="P260" s="1538"/>
    </row>
    <row r="261" spans="1:16" s="1859" customFormat="1" ht="45" hidden="1" customHeight="1">
      <c r="A261" s="1692" t="s">
        <v>143</v>
      </c>
      <c r="B261" s="1692" t="s">
        <v>144</v>
      </c>
      <c r="C261" s="296"/>
      <c r="D261" s="2298"/>
      <c r="E261" s="2101"/>
      <c r="F261" s="2231"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265" t="str">
        <f>INDEX(PT_DIFFERENTIATION_NTAR,MATCH(B261,PT_DIFFERENTIATION_NTAR_ID,0))</f>
        <v/>
      </c>
      <c r="H261" s="1774"/>
      <c r="I261" s="1651"/>
      <c r="J261" s="1685"/>
      <c r="K261" s="1690"/>
      <c r="L261" s="1774" t="s">
        <v>274</v>
      </c>
      <c r="M261" s="2065"/>
      <c r="N261" s="259"/>
      <c r="O261" s="1538"/>
      <c r="P261" s="1538"/>
    </row>
    <row r="262" spans="1:16" s="1859" customFormat="1" ht="18.75" hidden="1" customHeight="1">
      <c r="A262" s="1692"/>
      <c r="B262" s="1692"/>
      <c r="C262" s="296" t="s">
        <v>1024</v>
      </c>
      <c r="D262" s="2298"/>
      <c r="E262" s="2101"/>
      <c r="F262" s="2231"/>
      <c r="G262" s="2265"/>
      <c r="H262" s="1412"/>
      <c r="I262" s="571" t="s">
        <v>1023</v>
      </c>
      <c r="J262" s="495"/>
      <c r="K262" s="1412"/>
      <c r="L262" s="135"/>
      <c r="M262" s="1773"/>
      <c r="N262" s="259"/>
      <c r="O262" s="1538"/>
      <c r="P262" s="1538"/>
    </row>
    <row r="263" spans="1:16" s="1859" customFormat="1" ht="0.75" hidden="1" customHeight="1">
      <c r="A263" s="1692"/>
      <c r="B263" s="1692"/>
      <c r="C263" s="296" t="s">
        <v>1031</v>
      </c>
      <c r="D263" s="2298"/>
      <c r="E263" s="2101"/>
      <c r="F263" s="2231"/>
      <c r="G263" s="333"/>
      <c r="H263" s="1412"/>
      <c r="I263" s="571"/>
      <c r="J263" s="495"/>
      <c r="K263" s="1412"/>
      <c r="L263" s="135"/>
      <c r="M263" s="266"/>
      <c r="N263" s="259"/>
      <c r="O263" s="1538"/>
      <c r="P263" s="1538"/>
    </row>
    <row r="264" spans="1:16" s="1859" customFormat="1" ht="45" hidden="1" customHeight="1">
      <c r="A264" s="1692" t="s">
        <v>149</v>
      </c>
      <c r="B264" s="1692" t="s">
        <v>150</v>
      </c>
      <c r="C264" s="296"/>
      <c r="D264" s="2298"/>
      <c r="E264" s="2101"/>
      <c r="F264" s="2231"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265" t="str">
        <f>INDEX(PT_DIFFERENTIATION_NTAR,MATCH(B264,PT_DIFFERENTIATION_NTAR_ID,0))</f>
        <v/>
      </c>
      <c r="H264" s="1774"/>
      <c r="I264" s="1651"/>
      <c r="J264" s="1685"/>
      <c r="K264" s="1690"/>
      <c r="L264" s="1774" t="s">
        <v>274</v>
      </c>
      <c r="M264" s="266"/>
      <c r="N264" s="259"/>
      <c r="O264" s="1538"/>
      <c r="P264" s="1538"/>
    </row>
    <row r="265" spans="1:16" s="1859" customFormat="1" ht="18.75" hidden="1" customHeight="1">
      <c r="A265" s="1692"/>
      <c r="B265" s="1692"/>
      <c r="C265" s="296" t="s">
        <v>1024</v>
      </c>
      <c r="D265" s="2298"/>
      <c r="E265" s="2101"/>
      <c r="F265" s="2231"/>
      <c r="G265" s="2265"/>
      <c r="H265" s="1412"/>
      <c r="I265" s="571" t="s">
        <v>1023</v>
      </c>
      <c r="J265" s="495"/>
      <c r="K265" s="1412"/>
      <c r="L265" s="135"/>
      <c r="M265" s="266"/>
      <c r="N265" s="259"/>
      <c r="O265" s="1538"/>
      <c r="P265" s="1538"/>
    </row>
    <row r="266" spans="1:16" s="1859" customFormat="1" ht="0.75" hidden="1" customHeight="1">
      <c r="A266" s="1692"/>
      <c r="B266" s="1692"/>
      <c r="C266" s="296" t="s">
        <v>1031</v>
      </c>
      <c r="D266" s="2298"/>
      <c r="E266" s="2101"/>
      <c r="F266" s="2231"/>
      <c r="G266" s="333"/>
      <c r="H266" s="1412"/>
      <c r="I266" s="571"/>
      <c r="J266" s="495"/>
      <c r="K266" s="1412"/>
      <c r="L266" s="135"/>
      <c r="M266" s="266"/>
      <c r="N266" s="259"/>
      <c r="O266" s="1538"/>
      <c r="P266" s="1538"/>
    </row>
    <row r="267" spans="1:16" s="1859" customFormat="1" ht="45" hidden="1" customHeight="1">
      <c r="A267" s="1692" t="s">
        <v>155</v>
      </c>
      <c r="B267" s="1692" t="s">
        <v>156</v>
      </c>
      <c r="C267" s="296"/>
      <c r="D267" s="2298"/>
      <c r="E267" s="2101"/>
      <c r="F267" s="2231"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265" t="str">
        <f>INDEX(PT_DIFFERENTIATION_NTAR,MATCH(B267,PT_DIFFERENTIATION_NTAR_ID,0))</f>
        <v/>
      </c>
      <c r="H267" s="1774"/>
      <c r="I267" s="1651"/>
      <c r="J267" s="1685"/>
      <c r="K267" s="1690"/>
      <c r="L267" s="1774" t="s">
        <v>274</v>
      </c>
      <c r="M267" s="266"/>
      <c r="N267" s="259"/>
      <c r="O267" s="1538"/>
      <c r="P267" s="1538"/>
    </row>
    <row r="268" spans="1:16" s="1859" customFormat="1" ht="18.75" hidden="1" customHeight="1">
      <c r="A268" s="1692"/>
      <c r="B268" s="1692"/>
      <c r="C268" s="296" t="s">
        <v>1024</v>
      </c>
      <c r="D268" s="2298"/>
      <c r="E268" s="2101"/>
      <c r="F268" s="2231"/>
      <c r="G268" s="2265"/>
      <c r="H268" s="1412"/>
      <c r="I268" s="571" t="s">
        <v>1023</v>
      </c>
      <c r="J268" s="495"/>
      <c r="K268" s="1412"/>
      <c r="L268" s="135"/>
      <c r="M268" s="266"/>
      <c r="N268" s="259"/>
      <c r="O268" s="1538"/>
      <c r="P268" s="1538"/>
    </row>
    <row r="269" spans="1:16" s="1859" customFormat="1" ht="0.75" hidden="1" customHeight="1">
      <c r="A269" s="1692"/>
      <c r="B269" s="1692"/>
      <c r="C269" s="296" t="s">
        <v>1031</v>
      </c>
      <c r="D269" s="2298"/>
      <c r="E269" s="2101"/>
      <c r="F269" s="2231"/>
      <c r="G269" s="333"/>
      <c r="H269" s="1412"/>
      <c r="I269" s="571"/>
      <c r="J269" s="495"/>
      <c r="K269" s="1412"/>
      <c r="L269" s="135"/>
      <c r="M269" s="266"/>
      <c r="N269" s="259"/>
      <c r="O269" s="1538"/>
      <c r="P269" s="1538"/>
    </row>
    <row r="270" spans="1:16" s="1859" customFormat="1" ht="18.75" hidden="1" customHeight="1">
      <c r="A270" s="1692" t="s">
        <v>161</v>
      </c>
      <c r="B270" s="1692" t="s">
        <v>162</v>
      </c>
      <c r="C270" s="296"/>
      <c r="D270" s="2298"/>
      <c r="E270" s="2101"/>
      <c r="F270" s="2231" t="str">
        <f>INDEX(PT_DIFFERENTIATION_VTAR,MATCH(A270,PT_DIFFERENTIATION_VTAR_ID,0))</f>
        <v>Тарифы на услуги по передаче тепловой энергии</v>
      </c>
      <c r="G270" s="2265" t="str">
        <f>INDEX(PT_DIFFERENTIATION_NTAR,MATCH(B270,PT_DIFFERENTIATION_NTAR_ID,0))</f>
        <v/>
      </c>
      <c r="H270" s="1774"/>
      <c r="I270" s="1651"/>
      <c r="J270" s="1685"/>
      <c r="K270" s="1690"/>
      <c r="L270" s="1774" t="s">
        <v>274</v>
      </c>
      <c r="M270" s="266"/>
      <c r="N270" s="259"/>
      <c r="O270" s="1538"/>
      <c r="P270" s="1538"/>
    </row>
    <row r="271" spans="1:16" s="1859" customFormat="1" ht="18.75" hidden="1" customHeight="1">
      <c r="A271" s="1692"/>
      <c r="B271" s="1692"/>
      <c r="C271" s="296" t="s">
        <v>1024</v>
      </c>
      <c r="D271" s="2298"/>
      <c r="E271" s="2101"/>
      <c r="F271" s="2231"/>
      <c r="G271" s="2265"/>
      <c r="H271" s="1412"/>
      <c r="I271" s="571" t="s">
        <v>1023</v>
      </c>
      <c r="J271" s="495"/>
      <c r="K271" s="1412"/>
      <c r="L271" s="135"/>
      <c r="M271" s="266"/>
      <c r="N271" s="259"/>
      <c r="O271" s="1538"/>
      <c r="P271" s="1538"/>
    </row>
    <row r="272" spans="1:16" s="1859" customFormat="1" ht="0.75" hidden="1" customHeight="1">
      <c r="A272" s="1692"/>
      <c r="B272" s="1692"/>
      <c r="C272" s="296" t="s">
        <v>1031</v>
      </c>
      <c r="D272" s="2298"/>
      <c r="E272" s="2101"/>
      <c r="F272" s="2231"/>
      <c r="G272" s="333"/>
      <c r="H272" s="1412"/>
      <c r="I272" s="571"/>
      <c r="J272" s="495"/>
      <c r="K272" s="1412"/>
      <c r="L272" s="135"/>
      <c r="M272" s="266"/>
      <c r="N272" s="259"/>
      <c r="O272" s="1538"/>
      <c r="P272" s="1538"/>
    </row>
    <row r="273" spans="1:16" s="1859" customFormat="1" ht="18.75" hidden="1" customHeight="1">
      <c r="A273" s="1692" t="s">
        <v>167</v>
      </c>
      <c r="B273" s="1692" t="s">
        <v>168</v>
      </c>
      <c r="C273" s="296"/>
      <c r="D273" s="2298"/>
      <c r="E273" s="2101"/>
      <c r="F273" s="2231" t="str">
        <f>INDEX(PT_DIFFERENTIATION_VTAR,MATCH(A273,PT_DIFFERENTIATION_VTAR_ID,0))</f>
        <v>Тарифы на услуги по передаче теплоносителя</v>
      </c>
      <c r="G273" s="2265" t="str">
        <f>INDEX(PT_DIFFERENTIATION_NTAR,MATCH(B273,PT_DIFFERENTIATION_NTAR_ID,0))</f>
        <v/>
      </c>
      <c r="H273" s="1774"/>
      <c r="I273" s="1651"/>
      <c r="J273" s="1685"/>
      <c r="K273" s="1690"/>
      <c r="L273" s="1774" t="s">
        <v>274</v>
      </c>
      <c r="M273" s="266"/>
      <c r="N273" s="259"/>
      <c r="O273" s="1538"/>
      <c r="P273" s="1538"/>
    </row>
    <row r="274" spans="1:16" s="1859" customFormat="1" ht="18.75" hidden="1" customHeight="1">
      <c r="A274" s="1692"/>
      <c r="B274" s="1692"/>
      <c r="C274" s="296" t="s">
        <v>1024</v>
      </c>
      <c r="D274" s="2298"/>
      <c r="E274" s="2101"/>
      <c r="F274" s="2231"/>
      <c r="G274" s="2265"/>
      <c r="H274" s="1412"/>
      <c r="I274" s="571" t="s">
        <v>1023</v>
      </c>
      <c r="J274" s="495"/>
      <c r="K274" s="1412"/>
      <c r="L274" s="135"/>
      <c r="M274" s="266"/>
      <c r="N274" s="259"/>
      <c r="O274" s="1538"/>
      <c r="P274" s="1538"/>
    </row>
    <row r="275" spans="1:16" s="1859" customFormat="1" ht="0.75" hidden="1" customHeight="1">
      <c r="A275" s="1692"/>
      <c r="B275" s="1692"/>
      <c r="C275" s="296" t="s">
        <v>1031</v>
      </c>
      <c r="D275" s="2298"/>
      <c r="E275" s="2101"/>
      <c r="F275" s="2231"/>
      <c r="G275" s="333"/>
      <c r="H275" s="1412"/>
      <c r="I275" s="571"/>
      <c r="J275" s="495"/>
      <c r="K275" s="1412"/>
      <c r="L275" s="135"/>
      <c r="M275" s="266"/>
      <c r="N275" s="259"/>
      <c r="O275" s="1538"/>
      <c r="P275" s="1538"/>
    </row>
    <row r="276" spans="1:16" s="1859" customFormat="1" ht="18.75" hidden="1" customHeight="1">
      <c r="A276" s="1692" t="s">
        <v>173</v>
      </c>
      <c r="B276" s="1692" t="s">
        <v>174</v>
      </c>
      <c r="C276" s="296"/>
      <c r="D276" s="2298"/>
      <c r="E276" s="2101"/>
      <c r="F276" s="2231"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265" t="str">
        <f>INDEX(PT_DIFFERENTIATION_NTAR,MATCH(B276,PT_DIFFERENTIATION_NTAR_ID,0))</f>
        <v/>
      </c>
      <c r="H276" s="1774"/>
      <c r="I276" s="1651"/>
      <c r="J276" s="1685"/>
      <c r="K276" s="1690"/>
      <c r="L276" s="1774" t="s">
        <v>274</v>
      </c>
      <c r="M276" s="266"/>
      <c r="N276" s="259"/>
      <c r="O276" s="1538"/>
      <c r="P276" s="1538"/>
    </row>
    <row r="277" spans="1:16" s="1859" customFormat="1" ht="18.75" hidden="1" customHeight="1">
      <c r="A277" s="1692"/>
      <c r="B277" s="1692"/>
      <c r="C277" s="296" t="s">
        <v>1024</v>
      </c>
      <c r="D277" s="2298"/>
      <c r="E277" s="2101"/>
      <c r="F277" s="2231"/>
      <c r="G277" s="2265"/>
      <c r="H277" s="1412"/>
      <c r="I277" s="571" t="s">
        <v>1023</v>
      </c>
      <c r="J277" s="495"/>
      <c r="K277" s="1412"/>
      <c r="L277" s="135"/>
      <c r="M277" s="266"/>
      <c r="N277" s="259"/>
      <c r="O277" s="1538"/>
      <c r="P277" s="1538"/>
    </row>
    <row r="278" spans="1:16" s="1859" customFormat="1" ht="0.75" hidden="1" customHeight="1">
      <c r="A278" s="1692"/>
      <c r="B278" s="1692"/>
      <c r="C278" s="296" t="s">
        <v>1031</v>
      </c>
      <c r="D278" s="2298"/>
      <c r="E278" s="2101"/>
      <c r="F278" s="2231"/>
      <c r="G278" s="333"/>
      <c r="H278" s="1412"/>
      <c r="I278" s="571"/>
      <c r="J278" s="495"/>
      <c r="K278" s="1412"/>
      <c r="L278" s="135"/>
      <c r="M278" s="266"/>
      <c r="N278" s="259"/>
      <c r="O278" s="1538"/>
      <c r="P278" s="1538"/>
    </row>
    <row r="279" spans="1:16" s="1859" customFormat="1" ht="18.75" hidden="1" customHeight="1">
      <c r="A279" s="1692" t="s">
        <v>179</v>
      </c>
      <c r="B279" s="1692" t="s">
        <v>180</v>
      </c>
      <c r="C279" s="296"/>
      <c r="D279" s="2298"/>
      <c r="E279" s="2101"/>
      <c r="F279" s="2231" t="str">
        <f>INDEX(PT_DIFFERENTIATION_VTAR,MATCH(A279,PT_DIFFERENTIATION_VTAR_ID,0))</f>
        <v>Плата за подключение (технологическое присоединение) к системе теплоснабжения</v>
      </c>
      <c r="G279" s="2265" t="str">
        <f>INDEX(PT_DIFFERENTIATION_NTAR,MATCH(B279,PT_DIFFERENTIATION_NTAR_ID,0))</f>
        <v/>
      </c>
      <c r="H279" s="1774"/>
      <c r="I279" s="1651"/>
      <c r="J279" s="1685"/>
      <c r="K279" s="1690"/>
      <c r="L279" s="1774" t="s">
        <v>274</v>
      </c>
      <c r="M279" s="266"/>
      <c r="N279" s="259"/>
      <c r="O279" s="1538"/>
      <c r="P279" s="1538"/>
    </row>
    <row r="280" spans="1:16" s="1859" customFormat="1" ht="18.75" hidden="1" customHeight="1">
      <c r="A280" s="1692"/>
      <c r="B280" s="1692"/>
      <c r="C280" s="296" t="s">
        <v>1024</v>
      </c>
      <c r="D280" s="2298"/>
      <c r="E280" s="2101"/>
      <c r="F280" s="2231"/>
      <c r="G280" s="2265"/>
      <c r="H280" s="1412"/>
      <c r="I280" s="571" t="s">
        <v>1023</v>
      </c>
      <c r="J280" s="495"/>
      <c r="K280" s="1412"/>
      <c r="L280" s="135"/>
      <c r="M280" s="266"/>
      <c r="N280" s="259"/>
      <c r="O280" s="1538"/>
      <c r="P280" s="1538"/>
    </row>
    <row r="281" spans="1:16" s="1859" customFormat="1" ht="0.75" hidden="1" customHeight="1">
      <c r="A281" s="1692"/>
      <c r="B281" s="1692"/>
      <c r="C281" s="296" t="s">
        <v>1031</v>
      </c>
      <c r="D281" s="2298"/>
      <c r="E281" s="2101"/>
      <c r="F281" s="2231"/>
      <c r="G281" s="333"/>
      <c r="H281" s="1412"/>
      <c r="I281" s="571"/>
      <c r="J281" s="495"/>
      <c r="K281" s="1412"/>
      <c r="L281" s="135"/>
      <c r="M281" s="266"/>
      <c r="N281" s="259"/>
      <c r="O281" s="1538"/>
      <c r="P281" s="1538"/>
    </row>
    <row r="282" spans="1:16" s="1859" customFormat="1" ht="18.75" hidden="1" customHeight="1">
      <c r="A282" s="1692" t="s">
        <v>193</v>
      </c>
      <c r="B282" s="1692" t="s">
        <v>194</v>
      </c>
      <c r="C282" s="296"/>
      <c r="D282" s="2298"/>
      <c r="E282" s="2101"/>
      <c r="F282" s="2231" t="str">
        <f>INDEX(PT_DIFFERENTIATION_VTAR,MATCH(A282,PT_DIFFERENTIATION_VTAR_ID,0))</f>
        <v>Тариф на питьевую воду (питьевое водоснабжение)</v>
      </c>
      <c r="G282" s="2265" t="str">
        <f>INDEX(PT_DIFFERENTIATION_NTAR,MATCH(B282,PT_DIFFERENTIATION_NTAR_ID,0))</f>
        <v/>
      </c>
      <c r="H282" s="1774"/>
      <c r="I282" s="1651"/>
      <c r="J282" s="1685"/>
      <c r="K282" s="1690"/>
      <c r="L282" s="1774" t="s">
        <v>274</v>
      </c>
      <c r="M282" s="266"/>
      <c r="N282" s="259"/>
      <c r="O282" s="1538"/>
      <c r="P282" s="1538"/>
    </row>
    <row r="283" spans="1:16" s="1859" customFormat="1" ht="18.75" hidden="1" customHeight="1">
      <c r="A283" s="1692"/>
      <c r="B283" s="1692"/>
      <c r="C283" s="296" t="s">
        <v>1024</v>
      </c>
      <c r="D283" s="2298"/>
      <c r="E283" s="2101"/>
      <c r="F283" s="2231"/>
      <c r="G283" s="2265"/>
      <c r="H283" s="1412"/>
      <c r="I283" s="571" t="s">
        <v>1023</v>
      </c>
      <c r="J283" s="495"/>
      <c r="K283" s="1412"/>
      <c r="L283" s="135"/>
      <c r="M283" s="266"/>
      <c r="N283" s="259"/>
      <c r="O283" s="1538"/>
      <c r="P283" s="1538"/>
    </row>
    <row r="284" spans="1:16" s="1859" customFormat="1" ht="0.75" hidden="1" customHeight="1">
      <c r="A284" s="1692"/>
      <c r="B284" s="1692"/>
      <c r="C284" s="296" t="s">
        <v>1031</v>
      </c>
      <c r="D284" s="2298"/>
      <c r="E284" s="2101"/>
      <c r="F284" s="2231"/>
      <c r="G284" s="333"/>
      <c r="H284" s="1412"/>
      <c r="I284" s="571"/>
      <c r="J284" s="495"/>
      <c r="K284" s="1412"/>
      <c r="L284" s="135"/>
      <c r="M284" s="266"/>
      <c r="N284" s="259"/>
      <c r="O284" s="1538"/>
      <c r="P284" s="1538"/>
    </row>
    <row r="285" spans="1:16" s="1859" customFormat="1" ht="18.75" hidden="1" customHeight="1">
      <c r="A285" s="1692" t="s">
        <v>198</v>
      </c>
      <c r="B285" s="1692" t="s">
        <v>199</v>
      </c>
      <c r="C285" s="296"/>
      <c r="D285" s="2298"/>
      <c r="E285" s="2101"/>
      <c r="F285" s="2231" t="str">
        <f>INDEX(PT_DIFFERENTIATION_VTAR,MATCH(A285,PT_DIFFERENTIATION_VTAR_ID,0))</f>
        <v>Тариф на техническую воду</v>
      </c>
      <c r="G285" s="2265" t="str">
        <f>INDEX(PT_DIFFERENTIATION_NTAR,MATCH(B285,PT_DIFFERENTIATION_NTAR_ID,0))</f>
        <v/>
      </c>
      <c r="H285" s="1774"/>
      <c r="I285" s="1651"/>
      <c r="J285" s="1685"/>
      <c r="K285" s="1690"/>
      <c r="L285" s="1774" t="s">
        <v>274</v>
      </c>
      <c r="M285" s="266"/>
      <c r="N285" s="259"/>
      <c r="O285" s="1538"/>
      <c r="P285" s="1538"/>
    </row>
    <row r="286" spans="1:16" s="1859" customFormat="1" ht="18.75" hidden="1" customHeight="1">
      <c r="A286" s="1692"/>
      <c r="B286" s="1692"/>
      <c r="C286" s="296" t="s">
        <v>1024</v>
      </c>
      <c r="D286" s="2298"/>
      <c r="E286" s="2101"/>
      <c r="F286" s="2231"/>
      <c r="G286" s="2265"/>
      <c r="H286" s="1412"/>
      <c r="I286" s="571" t="s">
        <v>1023</v>
      </c>
      <c r="J286" s="495"/>
      <c r="K286" s="1412"/>
      <c r="L286" s="135"/>
      <c r="M286" s="266"/>
      <c r="N286" s="259"/>
      <c r="O286" s="1538"/>
      <c r="P286" s="1538"/>
    </row>
    <row r="287" spans="1:16" s="1859" customFormat="1" ht="0.75" hidden="1" customHeight="1">
      <c r="A287" s="1692"/>
      <c r="B287" s="1692"/>
      <c r="C287" s="296" t="s">
        <v>1031</v>
      </c>
      <c r="D287" s="2298"/>
      <c r="E287" s="2101"/>
      <c r="F287" s="2231"/>
      <c r="G287" s="333"/>
      <c r="H287" s="1412"/>
      <c r="I287" s="571"/>
      <c r="J287" s="495"/>
      <c r="K287" s="1412"/>
      <c r="L287" s="135"/>
      <c r="M287" s="266"/>
      <c r="N287" s="259"/>
      <c r="O287" s="1538"/>
      <c r="P287" s="1538"/>
    </row>
    <row r="288" spans="1:16" s="1859" customFormat="1" ht="18.75" hidden="1" customHeight="1">
      <c r="A288" s="1692" t="s">
        <v>203</v>
      </c>
      <c r="B288" s="1692" t="s">
        <v>204</v>
      </c>
      <c r="C288" s="296"/>
      <c r="D288" s="2298"/>
      <c r="E288" s="2101"/>
      <c r="F288" s="2231" t="str">
        <f>INDEX(PT_DIFFERENTIATION_VTAR,MATCH(A288,PT_DIFFERENTIATION_VTAR_ID,0))</f>
        <v>Тариф на транспортировку воды</v>
      </c>
      <c r="G288" s="2265" t="str">
        <f>INDEX(PT_DIFFERENTIATION_NTAR,MATCH(B288,PT_DIFFERENTIATION_NTAR_ID,0))</f>
        <v/>
      </c>
      <c r="H288" s="1774"/>
      <c r="I288" s="1651"/>
      <c r="J288" s="1685"/>
      <c r="K288" s="1690"/>
      <c r="L288" s="1774" t="s">
        <v>274</v>
      </c>
      <c r="M288" s="266"/>
      <c r="N288" s="259"/>
      <c r="O288" s="1538"/>
      <c r="P288" s="1538"/>
    </row>
    <row r="289" spans="1:16" s="1859" customFormat="1" ht="18.75" hidden="1" customHeight="1">
      <c r="A289" s="1692"/>
      <c r="B289" s="1692"/>
      <c r="C289" s="296" t="s">
        <v>1024</v>
      </c>
      <c r="D289" s="2298"/>
      <c r="E289" s="2101"/>
      <c r="F289" s="2231"/>
      <c r="G289" s="2265"/>
      <c r="H289" s="1412"/>
      <c r="I289" s="571" t="s">
        <v>1023</v>
      </c>
      <c r="J289" s="495"/>
      <c r="K289" s="1412"/>
      <c r="L289" s="135"/>
      <c r="M289" s="266"/>
      <c r="N289" s="259"/>
      <c r="O289" s="1538"/>
      <c r="P289" s="1538"/>
    </row>
    <row r="290" spans="1:16" s="1859" customFormat="1" ht="0.75" hidden="1" customHeight="1">
      <c r="A290" s="1692"/>
      <c r="B290" s="1692"/>
      <c r="C290" s="296" t="s">
        <v>1031</v>
      </c>
      <c r="D290" s="2298"/>
      <c r="E290" s="2101"/>
      <c r="F290" s="2231"/>
      <c r="G290" s="333"/>
      <c r="H290" s="1412"/>
      <c r="I290" s="571"/>
      <c r="J290" s="495"/>
      <c r="K290" s="1412"/>
      <c r="L290" s="135"/>
      <c r="M290" s="266"/>
      <c r="N290" s="259"/>
      <c r="O290" s="1538"/>
      <c r="P290" s="1538"/>
    </row>
    <row r="291" spans="1:16" s="1859" customFormat="1" ht="18.75" hidden="1" customHeight="1">
      <c r="A291" s="1692" t="s">
        <v>208</v>
      </c>
      <c r="B291" s="1692" t="s">
        <v>209</v>
      </c>
      <c r="C291" s="296"/>
      <c r="D291" s="2298"/>
      <c r="E291" s="2101"/>
      <c r="F291" s="2231" t="str">
        <f>INDEX(PT_DIFFERENTIATION_VTAR,MATCH(A291,PT_DIFFERENTIATION_VTAR_ID,0))</f>
        <v>Тариф на подвоз воды</v>
      </c>
      <c r="G291" s="2265" t="str">
        <f>INDEX(PT_DIFFERENTIATION_NTAR,MATCH(B291,PT_DIFFERENTIATION_NTAR_ID,0))</f>
        <v/>
      </c>
      <c r="H291" s="1774"/>
      <c r="I291" s="1651"/>
      <c r="J291" s="1685"/>
      <c r="K291" s="1690"/>
      <c r="L291" s="1774" t="s">
        <v>274</v>
      </c>
      <c r="M291" s="266"/>
      <c r="N291" s="259"/>
      <c r="O291" s="1538"/>
      <c r="P291" s="1538"/>
    </row>
    <row r="292" spans="1:16" s="1859" customFormat="1" ht="18.75" hidden="1" customHeight="1">
      <c r="A292" s="1692"/>
      <c r="B292" s="1692"/>
      <c r="C292" s="296" t="s">
        <v>1024</v>
      </c>
      <c r="D292" s="2298"/>
      <c r="E292" s="2101"/>
      <c r="F292" s="2231"/>
      <c r="G292" s="2265"/>
      <c r="H292" s="1412"/>
      <c r="I292" s="571" t="s">
        <v>1023</v>
      </c>
      <c r="J292" s="495"/>
      <c r="K292" s="1412"/>
      <c r="L292" s="135"/>
      <c r="M292" s="266"/>
      <c r="N292" s="259"/>
      <c r="O292" s="1538"/>
      <c r="P292" s="1538"/>
    </row>
    <row r="293" spans="1:16" s="1859" customFormat="1" ht="0.75" hidden="1" customHeight="1">
      <c r="A293" s="1692"/>
      <c r="B293" s="1692"/>
      <c r="C293" s="296" t="s">
        <v>1031</v>
      </c>
      <c r="D293" s="2298"/>
      <c r="E293" s="2101"/>
      <c r="F293" s="2231"/>
      <c r="G293" s="333"/>
      <c r="H293" s="1412"/>
      <c r="I293" s="571"/>
      <c r="J293" s="495"/>
      <c r="K293" s="1412"/>
      <c r="L293" s="135"/>
      <c r="M293" s="266"/>
      <c r="N293" s="259"/>
      <c r="O293" s="1538"/>
      <c r="P293" s="1538"/>
    </row>
    <row r="294" spans="1:16" s="1859" customFormat="1" ht="18.75" hidden="1" customHeight="1">
      <c r="A294" s="1692" t="s">
        <v>213</v>
      </c>
      <c r="B294" s="1692" t="s">
        <v>214</v>
      </c>
      <c r="C294" s="296"/>
      <c r="D294" s="2298"/>
      <c r="E294" s="2101"/>
      <c r="F294" s="2231" t="str">
        <f>INDEX(PT_DIFFERENTIATION_VTAR,MATCH(A294,PT_DIFFERENTIATION_VTAR_ID,0))</f>
        <v>Тариф на подключение (технологическое присоединение) к централизованной системе холодного водоснабжения</v>
      </c>
      <c r="G294" s="2265" t="str">
        <f>INDEX(PT_DIFFERENTIATION_NTAR,MATCH(B294,PT_DIFFERENTIATION_NTAR_ID,0))</f>
        <v/>
      </c>
      <c r="H294" s="1774"/>
      <c r="I294" s="1651"/>
      <c r="J294" s="1685"/>
      <c r="K294" s="1690"/>
      <c r="L294" s="1774" t="s">
        <v>274</v>
      </c>
      <c r="M294" s="266"/>
      <c r="N294" s="259"/>
      <c r="O294" s="1538"/>
      <c r="P294" s="1538"/>
    </row>
    <row r="295" spans="1:16" s="1859" customFormat="1" ht="18.75" hidden="1" customHeight="1">
      <c r="A295" s="1692"/>
      <c r="B295" s="1692"/>
      <c r="C295" s="296" t="s">
        <v>1024</v>
      </c>
      <c r="D295" s="2298"/>
      <c r="E295" s="2101"/>
      <c r="F295" s="2231"/>
      <c r="G295" s="2265"/>
      <c r="H295" s="1412"/>
      <c r="I295" s="571" t="s">
        <v>1023</v>
      </c>
      <c r="J295" s="495"/>
      <c r="K295" s="1412"/>
      <c r="L295" s="135"/>
      <c r="M295" s="266"/>
      <c r="N295" s="259"/>
      <c r="O295" s="1538"/>
      <c r="P295" s="1538"/>
    </row>
    <row r="296" spans="1:16" s="1859" customFormat="1" ht="0.75" hidden="1" customHeight="1">
      <c r="A296" s="1692"/>
      <c r="B296" s="1692"/>
      <c r="C296" s="296" t="s">
        <v>1031</v>
      </c>
      <c r="D296" s="2298"/>
      <c r="E296" s="2101"/>
      <c r="F296" s="2231"/>
      <c r="G296" s="333"/>
      <c r="H296" s="1412"/>
      <c r="I296" s="571"/>
      <c r="J296" s="495"/>
      <c r="K296" s="1412"/>
      <c r="L296" s="135"/>
      <c r="M296" s="266"/>
      <c r="N296" s="259"/>
      <c r="O296" s="1538"/>
      <c r="P296" s="1538"/>
    </row>
    <row r="297" spans="1:16" s="1859" customFormat="1" ht="18.75" hidden="1" customHeight="1">
      <c r="A297" s="1692" t="s">
        <v>218</v>
      </c>
      <c r="B297" s="1692" t="s">
        <v>219</v>
      </c>
      <c r="C297" s="296"/>
      <c r="D297" s="2298"/>
      <c r="E297" s="2101"/>
      <c r="F297" s="2231" t="str">
        <f>INDEX(PT_DIFFERENTIATION_VTAR,MATCH(A297,PT_DIFFERENTIATION_VTAR_ID,0))</f>
        <v>Тариф на горячую воду (горячее водоснабжение)</v>
      </c>
      <c r="G297" s="2265" t="str">
        <f>INDEX(PT_DIFFERENTIATION_NTAR,MATCH(B297,PT_DIFFERENTIATION_NTAR_ID,0))</f>
        <v/>
      </c>
      <c r="H297" s="1774"/>
      <c r="I297" s="1651"/>
      <c r="J297" s="1685"/>
      <c r="K297" s="1690"/>
      <c r="L297" s="1774" t="s">
        <v>274</v>
      </c>
      <c r="M297" s="266"/>
      <c r="N297" s="259"/>
      <c r="O297" s="1538"/>
      <c r="P297" s="1538"/>
    </row>
    <row r="298" spans="1:16" s="1859" customFormat="1" ht="18.75" hidden="1" customHeight="1">
      <c r="A298" s="1692"/>
      <c r="B298" s="1692"/>
      <c r="C298" s="296" t="s">
        <v>1024</v>
      </c>
      <c r="D298" s="2298"/>
      <c r="E298" s="2101"/>
      <c r="F298" s="2231"/>
      <c r="G298" s="2265"/>
      <c r="H298" s="1412"/>
      <c r="I298" s="571" t="s">
        <v>1023</v>
      </c>
      <c r="J298" s="495"/>
      <c r="K298" s="1412"/>
      <c r="L298" s="135"/>
      <c r="M298" s="266"/>
      <c r="N298" s="259"/>
      <c r="O298" s="1538"/>
      <c r="P298" s="1538"/>
    </row>
    <row r="299" spans="1:16" s="1859" customFormat="1" ht="0.75" hidden="1" customHeight="1">
      <c r="A299" s="1692"/>
      <c r="B299" s="1692"/>
      <c r="C299" s="296" t="s">
        <v>1031</v>
      </c>
      <c r="D299" s="2298"/>
      <c r="E299" s="2101"/>
      <c r="F299" s="2231"/>
      <c r="G299" s="333"/>
      <c r="H299" s="1412"/>
      <c r="I299" s="571"/>
      <c r="J299" s="495"/>
      <c r="K299" s="1412"/>
      <c r="L299" s="135"/>
      <c r="M299" s="266"/>
      <c r="N299" s="259"/>
      <c r="O299" s="1538"/>
      <c r="P299" s="1538"/>
    </row>
    <row r="300" spans="1:16" s="1859" customFormat="1" ht="18.75" hidden="1" customHeight="1">
      <c r="A300" s="1692" t="s">
        <v>223</v>
      </c>
      <c r="B300" s="1692" t="s">
        <v>224</v>
      </c>
      <c r="C300" s="296"/>
      <c r="D300" s="2298"/>
      <c r="E300" s="2101"/>
      <c r="F300" s="2231" t="str">
        <f>INDEX(PT_DIFFERENTIATION_VTAR,MATCH(A300,PT_DIFFERENTIATION_VTAR_ID,0))</f>
        <v>Тариф на транспортировку горячей воды</v>
      </c>
      <c r="G300" s="2265" t="str">
        <f>INDEX(PT_DIFFERENTIATION_NTAR,MATCH(B300,PT_DIFFERENTIATION_NTAR_ID,0))</f>
        <v/>
      </c>
      <c r="H300" s="1774"/>
      <c r="I300" s="1651"/>
      <c r="J300" s="1685"/>
      <c r="K300" s="1690"/>
      <c r="L300" s="1774" t="s">
        <v>274</v>
      </c>
      <c r="M300" s="266"/>
      <c r="N300" s="259"/>
      <c r="O300" s="1538"/>
      <c r="P300" s="1538"/>
    </row>
    <row r="301" spans="1:16" s="1859" customFormat="1" ht="18.75" hidden="1" customHeight="1">
      <c r="A301" s="1692"/>
      <c r="B301" s="1692"/>
      <c r="C301" s="296" t="s">
        <v>1024</v>
      </c>
      <c r="D301" s="2298"/>
      <c r="E301" s="2101"/>
      <c r="F301" s="2231"/>
      <c r="G301" s="2265"/>
      <c r="H301" s="1412"/>
      <c r="I301" s="571" t="s">
        <v>1023</v>
      </c>
      <c r="J301" s="495"/>
      <c r="K301" s="1412"/>
      <c r="L301" s="135"/>
      <c r="M301" s="266"/>
      <c r="N301" s="259"/>
      <c r="O301" s="1538"/>
      <c r="P301" s="1538"/>
    </row>
    <row r="302" spans="1:16" s="1859" customFormat="1" ht="0.75" hidden="1" customHeight="1">
      <c r="A302" s="1692"/>
      <c r="B302" s="1692"/>
      <c r="C302" s="296" t="s">
        <v>1031</v>
      </c>
      <c r="D302" s="2298"/>
      <c r="E302" s="2101"/>
      <c r="F302" s="2231"/>
      <c r="G302" s="333"/>
      <c r="H302" s="1412"/>
      <c r="I302" s="571"/>
      <c r="J302" s="495"/>
      <c r="K302" s="1412"/>
      <c r="L302" s="135"/>
      <c r="M302" s="266"/>
      <c r="N302" s="259"/>
      <c r="O302" s="1538"/>
      <c r="P302" s="1538"/>
    </row>
    <row r="303" spans="1:16" s="1859" customFormat="1" ht="18.75" hidden="1" customHeight="1">
      <c r="A303" s="1692" t="s">
        <v>228</v>
      </c>
      <c r="B303" s="1692" t="s">
        <v>229</v>
      </c>
      <c r="C303" s="296"/>
      <c r="D303" s="2298"/>
      <c r="E303" s="2101"/>
      <c r="F303" s="2231" t="str">
        <f>INDEX(PT_DIFFERENTIATION_VTAR,MATCH(A303,PT_DIFFERENTIATION_VTAR_ID,0))</f>
        <v>Тариф на подключение (технологическое присоединение) к централизованной системе горячего водоснабжения</v>
      </c>
      <c r="G303" s="2265" t="str">
        <f>INDEX(PT_DIFFERENTIATION_NTAR,MATCH(B303,PT_DIFFERENTIATION_NTAR_ID,0))</f>
        <v/>
      </c>
      <c r="H303" s="1774"/>
      <c r="I303" s="1651"/>
      <c r="J303" s="1685"/>
      <c r="K303" s="1690"/>
      <c r="L303" s="1774" t="s">
        <v>274</v>
      </c>
      <c r="M303" s="266"/>
      <c r="N303" s="259"/>
      <c r="O303" s="1538"/>
      <c r="P303" s="1538"/>
    </row>
    <row r="304" spans="1:16" s="1859" customFormat="1" ht="18.75" hidden="1" customHeight="1">
      <c r="A304" s="1692"/>
      <c r="B304" s="1692"/>
      <c r="C304" s="296" t="s">
        <v>1024</v>
      </c>
      <c r="D304" s="2298"/>
      <c r="E304" s="2101"/>
      <c r="F304" s="2231"/>
      <c r="G304" s="2265"/>
      <c r="H304" s="1412"/>
      <c r="I304" s="571" t="s">
        <v>1023</v>
      </c>
      <c r="J304" s="495"/>
      <c r="K304" s="1412"/>
      <c r="L304" s="135"/>
      <c r="M304" s="266"/>
      <c r="N304" s="259"/>
      <c r="O304" s="1538"/>
      <c r="P304" s="1538"/>
    </row>
    <row r="305" spans="1:16" s="1859" customFormat="1" ht="0.75" hidden="1" customHeight="1">
      <c r="A305" s="1692"/>
      <c r="B305" s="1692"/>
      <c r="C305" s="296" t="s">
        <v>1031</v>
      </c>
      <c r="D305" s="2298"/>
      <c r="E305" s="2101"/>
      <c r="F305" s="2231"/>
      <c r="G305" s="333"/>
      <c r="H305" s="1412"/>
      <c r="I305" s="571"/>
      <c r="J305" s="495"/>
      <c r="K305" s="1412"/>
      <c r="L305" s="135"/>
      <c r="M305" s="266"/>
      <c r="N305" s="259"/>
      <c r="O305" s="1538"/>
      <c r="P305" s="1538"/>
    </row>
    <row r="306" spans="1:16" s="1859" customFormat="1" ht="18.75" hidden="1" customHeight="1">
      <c r="A306" s="1692" t="s">
        <v>233</v>
      </c>
      <c r="B306" s="1692" t="s">
        <v>234</v>
      </c>
      <c r="C306" s="296"/>
      <c r="D306" s="2298"/>
      <c r="E306" s="2101"/>
      <c r="F306" s="2231" t="str">
        <f>INDEX(PT_DIFFERENTIATION_VTAR,MATCH(A306,PT_DIFFERENTIATION_VTAR_ID,0))</f>
        <v>Тариф на водоотведение</v>
      </c>
      <c r="G306" s="2265" t="str">
        <f>INDEX(PT_DIFFERENTIATION_NTAR,MATCH(B306,PT_DIFFERENTIATION_NTAR_ID,0))</f>
        <v/>
      </c>
      <c r="H306" s="1774"/>
      <c r="I306" s="1651"/>
      <c r="J306" s="1685"/>
      <c r="K306" s="1690"/>
      <c r="L306" s="1774" t="s">
        <v>274</v>
      </c>
      <c r="M306" s="266"/>
      <c r="N306" s="259"/>
      <c r="O306" s="1538"/>
      <c r="P306" s="1538"/>
    </row>
    <row r="307" spans="1:16" s="1859" customFormat="1" ht="18.75" hidden="1" customHeight="1">
      <c r="A307" s="1692"/>
      <c r="B307" s="1692"/>
      <c r="C307" s="296" t="s">
        <v>1024</v>
      </c>
      <c r="D307" s="2298"/>
      <c r="E307" s="2101"/>
      <c r="F307" s="2231"/>
      <c r="G307" s="2265"/>
      <c r="H307" s="1412"/>
      <c r="I307" s="571" t="s">
        <v>1023</v>
      </c>
      <c r="J307" s="495"/>
      <c r="K307" s="1412"/>
      <c r="L307" s="135"/>
      <c r="M307" s="266"/>
      <c r="N307" s="259"/>
      <c r="O307" s="1538"/>
      <c r="P307" s="1538"/>
    </row>
    <row r="308" spans="1:16" s="1859" customFormat="1" ht="0.75" hidden="1" customHeight="1">
      <c r="A308" s="1692"/>
      <c r="B308" s="1692"/>
      <c r="C308" s="296" t="s">
        <v>1031</v>
      </c>
      <c r="D308" s="2298"/>
      <c r="E308" s="2101"/>
      <c r="F308" s="2231"/>
      <c r="G308" s="333"/>
      <c r="H308" s="1412"/>
      <c r="I308" s="571"/>
      <c r="J308" s="495"/>
      <c r="K308" s="1412"/>
      <c r="L308" s="135"/>
      <c r="M308" s="266"/>
      <c r="N308" s="259"/>
      <c r="O308" s="1538"/>
      <c r="P308" s="1538"/>
    </row>
    <row r="309" spans="1:16" s="1859" customFormat="1" ht="18.75" hidden="1" customHeight="1">
      <c r="A309" s="1692" t="s">
        <v>238</v>
      </c>
      <c r="B309" s="1692" t="s">
        <v>239</v>
      </c>
      <c r="C309" s="296"/>
      <c r="D309" s="2298"/>
      <c r="E309" s="2101"/>
      <c r="F309" s="2231" t="str">
        <f>INDEX(PT_DIFFERENTIATION_VTAR,MATCH(A309,PT_DIFFERENTIATION_VTAR_ID,0))</f>
        <v>Тариф на транспортировку сточных вод</v>
      </c>
      <c r="G309" s="2265" t="str">
        <f>INDEX(PT_DIFFERENTIATION_NTAR,MATCH(B309,PT_DIFFERENTIATION_NTAR_ID,0))</f>
        <v/>
      </c>
      <c r="H309" s="1774"/>
      <c r="I309" s="1651"/>
      <c r="J309" s="1685"/>
      <c r="K309" s="1690"/>
      <c r="L309" s="1774" t="s">
        <v>274</v>
      </c>
      <c r="M309" s="266"/>
      <c r="N309" s="259"/>
      <c r="O309" s="1538"/>
      <c r="P309" s="1538"/>
    </row>
    <row r="310" spans="1:16" s="1859" customFormat="1" ht="18.75" hidden="1" customHeight="1">
      <c r="A310" s="1692"/>
      <c r="B310" s="1692"/>
      <c r="C310" s="296" t="s">
        <v>1024</v>
      </c>
      <c r="D310" s="2298"/>
      <c r="E310" s="2101"/>
      <c r="F310" s="2231"/>
      <c r="G310" s="2265"/>
      <c r="H310" s="1412"/>
      <c r="I310" s="571" t="s">
        <v>1023</v>
      </c>
      <c r="J310" s="495"/>
      <c r="K310" s="1412"/>
      <c r="L310" s="135"/>
      <c r="M310" s="266"/>
      <c r="N310" s="259"/>
      <c r="O310" s="1538"/>
      <c r="P310" s="1538"/>
    </row>
    <row r="311" spans="1:16" s="1859" customFormat="1" ht="0.75" hidden="1" customHeight="1">
      <c r="A311" s="1692"/>
      <c r="B311" s="1692"/>
      <c r="C311" s="296" t="s">
        <v>1031</v>
      </c>
      <c r="D311" s="2298"/>
      <c r="E311" s="2101"/>
      <c r="F311" s="2231"/>
      <c r="G311" s="333"/>
      <c r="H311" s="1412"/>
      <c r="I311" s="571"/>
      <c r="J311" s="495"/>
      <c r="K311" s="1412"/>
      <c r="L311" s="135"/>
      <c r="M311" s="266"/>
      <c r="N311" s="259"/>
      <c r="O311" s="1538"/>
      <c r="P311" s="1538"/>
    </row>
    <row r="312" spans="1:16" s="1859" customFormat="1" ht="18.75" hidden="1" customHeight="1">
      <c r="A312" s="1692" t="s">
        <v>243</v>
      </c>
      <c r="B312" s="1692" t="s">
        <v>244</v>
      </c>
      <c r="C312" s="296"/>
      <c r="D312" s="2298"/>
      <c r="E312" s="2101"/>
      <c r="F312" s="2231" t="str">
        <f>INDEX(PT_DIFFERENTIATION_VTAR,MATCH(A312,PT_DIFFERENTIATION_VTAR_ID,0))</f>
        <v>Тариф на подключение (технологическое присоединение) к централизованной системе водоотведения</v>
      </c>
      <c r="G312" s="2265" t="str">
        <f>INDEX(PT_DIFFERENTIATION_NTAR,MATCH(B312,PT_DIFFERENTIATION_NTAR_ID,0))</f>
        <v/>
      </c>
      <c r="H312" s="1774"/>
      <c r="I312" s="1651"/>
      <c r="J312" s="1685"/>
      <c r="K312" s="1690"/>
      <c r="L312" s="1774" t="s">
        <v>274</v>
      </c>
      <c r="M312" s="266"/>
      <c r="N312" s="259"/>
      <c r="O312" s="1538"/>
      <c r="P312" s="1538"/>
    </row>
    <row r="313" spans="1:16" s="1859" customFormat="1" ht="18.75" hidden="1" customHeight="1">
      <c r="A313" s="1692"/>
      <c r="B313" s="1692"/>
      <c r="C313" s="296" t="s">
        <v>1024</v>
      </c>
      <c r="D313" s="2298"/>
      <c r="E313" s="2101"/>
      <c r="F313" s="2231"/>
      <c r="G313" s="2265"/>
      <c r="H313" s="1412"/>
      <c r="I313" s="571" t="s">
        <v>1023</v>
      </c>
      <c r="J313" s="495"/>
      <c r="K313" s="1412"/>
      <c r="L313" s="135"/>
      <c r="M313" s="266"/>
      <c r="N313" s="259"/>
      <c r="O313" s="1538"/>
      <c r="P313" s="1538"/>
    </row>
    <row r="314" spans="1:16" s="1859" customFormat="1" ht="0.75" customHeight="1">
      <c r="A314" s="1692"/>
      <c r="B314" s="1692"/>
      <c r="C314" s="296" t="s">
        <v>1031</v>
      </c>
      <c r="D314" s="2298"/>
      <c r="E314" s="2101"/>
      <c r="F314" s="2231"/>
      <c r="G314" s="333"/>
      <c r="H314" s="1412"/>
      <c r="I314" s="571"/>
      <c r="J314" s="495"/>
      <c r="K314" s="1412"/>
      <c r="L314" s="135"/>
      <c r="M314" s="266"/>
      <c r="N314" s="259"/>
      <c r="O314" s="1538"/>
      <c r="P314" s="1538"/>
    </row>
    <row r="315" spans="1:16" s="1938" customFormat="1" ht="3" customHeight="1">
      <c r="A315" s="1692"/>
      <c r="B315" s="1692"/>
      <c r="C315" s="1693"/>
      <c r="E315" s="335"/>
      <c r="F315" s="335"/>
      <c r="G315" s="335"/>
      <c r="H315" s="335"/>
      <c r="I315" s="335"/>
      <c r="J315" s="335"/>
      <c r="K315" s="335"/>
      <c r="L315" s="335"/>
      <c r="M315" s="335"/>
      <c r="O315" s="117"/>
      <c r="P315" s="117"/>
    </row>
    <row r="316" spans="1:16" ht="24.75" customHeight="1">
      <c r="E316" s="123"/>
      <c r="F316" s="2145"/>
      <c r="G316" s="2145"/>
      <c r="H316" s="2145"/>
      <c r="I316" s="2145"/>
      <c r="J316" s="2145"/>
      <c r="K316" s="2145"/>
      <c r="L316" s="2145"/>
      <c r="M316" s="2145"/>
    </row>
  </sheetData>
  <sheetProtection formatColumns="0" formatRows="0" insertRows="0" deleteColumns="0" deleteRows="0" sort="0" autoFilter="0"/>
  <mergeCells count="408">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 ref="G87:G88"/>
    <mergeCell ref="G90:G91"/>
    <mergeCell ref="G93:G94"/>
    <mergeCell ref="G96:G97"/>
    <mergeCell ref="G99:G100"/>
    <mergeCell ref="G102:G103"/>
    <mergeCell ref="G105:G106"/>
    <mergeCell ref="G108:G109"/>
    <mergeCell ref="G111:G112"/>
    <mergeCell ref="G57:G58"/>
    <mergeCell ref="G60:G61"/>
    <mergeCell ref="G63:G64"/>
    <mergeCell ref="G66:G67"/>
    <mergeCell ref="G69:G70"/>
    <mergeCell ref="G72:G73"/>
    <mergeCell ref="G75:G76"/>
    <mergeCell ref="G78:G79"/>
    <mergeCell ref="G84:G85"/>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D233:D235"/>
    <mergeCell ref="E233:E235"/>
    <mergeCell ref="F233:F235"/>
    <mergeCell ref="D236:D238"/>
    <mergeCell ref="E236:E238"/>
    <mergeCell ref="F236:F238"/>
    <mergeCell ref="G233:G234"/>
    <mergeCell ref="G236:G237"/>
    <mergeCell ref="G239:G240"/>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09:D211"/>
    <mergeCell ref="E209:E211"/>
    <mergeCell ref="F209:F211"/>
    <mergeCell ref="D212:D214"/>
    <mergeCell ref="E212:E214"/>
    <mergeCell ref="F212:F214"/>
    <mergeCell ref="G209:G210"/>
    <mergeCell ref="G212:G213"/>
    <mergeCell ref="G215:G216"/>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E175:E177"/>
    <mergeCell ref="F175:F177"/>
    <mergeCell ref="D184:D186"/>
    <mergeCell ref="E184:E186"/>
    <mergeCell ref="F184:F186"/>
    <mergeCell ref="D187:D189"/>
    <mergeCell ref="E187:E189"/>
    <mergeCell ref="F187:F189"/>
    <mergeCell ref="G184:G185"/>
    <mergeCell ref="G187:G188"/>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48:E150"/>
    <mergeCell ref="F148:F150"/>
    <mergeCell ref="D151:D153"/>
    <mergeCell ref="E151:E153"/>
    <mergeCell ref="F151:F153"/>
    <mergeCell ref="D160:D162"/>
    <mergeCell ref="E160:E162"/>
    <mergeCell ref="F160:F162"/>
    <mergeCell ref="D163:D165"/>
    <mergeCell ref="E163:E165"/>
    <mergeCell ref="F163:F165"/>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D129:D131"/>
    <mergeCell ref="E129:E131"/>
    <mergeCell ref="F129:F131"/>
    <mergeCell ref="D132:D134"/>
    <mergeCell ref="E132:E134"/>
    <mergeCell ref="F132:F134"/>
    <mergeCell ref="D123:D125"/>
    <mergeCell ref="E123:E125"/>
    <mergeCell ref="F123:F125"/>
    <mergeCell ref="D126:D128"/>
    <mergeCell ref="E126:E128"/>
    <mergeCell ref="F126:F128"/>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05:D107"/>
    <mergeCell ref="E105:E107"/>
    <mergeCell ref="F105:F107"/>
    <mergeCell ref="D108:D110"/>
    <mergeCell ref="E108:E110"/>
    <mergeCell ref="F108:F110"/>
    <mergeCell ref="D99:D101"/>
    <mergeCell ref="E99:E101"/>
    <mergeCell ref="F99:F101"/>
    <mergeCell ref="D102:D104"/>
    <mergeCell ref="E102:E104"/>
    <mergeCell ref="F102:F104"/>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Q16"/>
  <sheetViews>
    <sheetView showGridLines="0" topLeftCell="C4" zoomScale="90" workbookViewId="0"/>
  </sheetViews>
  <sheetFormatPr defaultColWidth="10.5703125" defaultRowHeight="14.25" customHeight="1"/>
  <cols>
    <col min="1" max="1" width="9.140625" style="1941" hidden="1" customWidth="1"/>
    <col min="2" max="2" width="9.140625" style="1934" hidden="1" customWidth="1"/>
    <col min="3" max="3" width="3.7109375" style="1890" customWidth="1"/>
    <col min="4" max="4" width="6.28515625" style="1940" customWidth="1"/>
    <col min="5" max="5" width="53.85546875" style="1940" customWidth="1"/>
    <col min="6" max="7" width="35.7109375" style="1940" customWidth="1"/>
    <col min="8" max="8" width="89.5703125" style="1940" customWidth="1"/>
    <col min="9" max="9" width="10.5703125" style="1940"/>
    <col min="10" max="11" width="10.5703125" style="1935"/>
    <col min="12" max="17" width="10.5703125" style="1940"/>
  </cols>
  <sheetData>
    <row r="1" spans="1:17" ht="14.25" hidden="1" customHeight="1">
      <c r="N1" s="173"/>
      <c r="O1" s="173"/>
      <c r="Q1" s="173"/>
    </row>
    <row r="2" spans="1:17" s="1859" customFormat="1" ht="18.75" hidden="1" customHeight="1">
      <c r="A2" s="34"/>
      <c r="B2" s="1062"/>
      <c r="C2" s="1642" t="s">
        <v>1004</v>
      </c>
      <c r="D2" s="1586"/>
      <c r="E2" s="1595"/>
      <c r="F2" s="175"/>
      <c r="G2" s="1063"/>
      <c r="H2" s="301"/>
      <c r="I2" s="1538"/>
      <c r="J2" s="1538"/>
    </row>
    <row r="3" spans="1:17" ht="14.25" hidden="1" customHeight="1"/>
    <row r="4" spans="1:17" ht="6" customHeight="1">
      <c r="C4" s="304"/>
      <c r="D4" s="289"/>
      <c r="E4" s="289"/>
      <c r="F4" s="289"/>
      <c r="G4" s="19"/>
      <c r="H4" s="19"/>
    </row>
    <row r="5" spans="1:17" ht="33" customHeight="1">
      <c r="C5" s="304"/>
      <c r="D5" s="2067"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068"/>
      <c r="F5" s="2068"/>
      <c r="G5" s="2069"/>
      <c r="H5" s="184"/>
    </row>
    <row r="6" spans="1:17" s="1859" customFormat="1" ht="17.25" customHeight="1">
      <c r="A6" s="1582"/>
      <c r="B6" s="1062"/>
      <c r="C6" s="304"/>
      <c r="D6" s="2121" t="str">
        <f>IF(org=0,"Не определено",org)</f>
        <v>ООО "Горводоканал"</v>
      </c>
      <c r="E6" s="2122"/>
      <c r="F6" s="2122"/>
      <c r="G6" s="2123"/>
      <c r="H6" s="184"/>
      <c r="J6" s="1538"/>
      <c r="K6" s="1538"/>
    </row>
    <row r="7" spans="1:17" ht="14.25" customHeight="1">
      <c r="C7" s="304"/>
      <c r="D7" s="289"/>
      <c r="E7" s="322"/>
      <c r="F7" s="322"/>
      <c r="G7" s="670"/>
      <c r="H7" s="114"/>
    </row>
    <row r="8" spans="1:17" ht="14.25" customHeight="1">
      <c r="C8" s="304"/>
      <c r="D8" s="2107" t="s">
        <v>268</v>
      </c>
      <c r="E8" s="2107"/>
      <c r="F8" s="2107"/>
      <c r="G8" s="2107"/>
      <c r="H8" s="2291" t="s">
        <v>269</v>
      </c>
    </row>
    <row r="9" spans="1:17" ht="14.25" customHeight="1">
      <c r="C9" s="304"/>
      <c r="D9" s="319" t="s">
        <v>73</v>
      </c>
      <c r="E9" s="39" t="s">
        <v>270</v>
      </c>
      <c r="F9" s="39" t="s">
        <v>271</v>
      </c>
      <c r="G9" s="39" t="s">
        <v>360</v>
      </c>
      <c r="H9" s="2291"/>
    </row>
    <row r="10" spans="1:17" ht="33.75" customHeight="1">
      <c r="A10" s="267"/>
      <c r="C10" s="304"/>
      <c r="D10" s="71" t="s">
        <v>91</v>
      </c>
      <c r="E10" s="179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175"/>
      <c r="G10" s="134"/>
      <c r="H10" s="2063" t="s">
        <v>1032</v>
      </c>
    </row>
    <row r="11" spans="1:17" ht="33.75" customHeight="1">
      <c r="A11" s="267"/>
      <c r="C11" s="304"/>
      <c r="D11" s="71" t="s">
        <v>92</v>
      </c>
      <c r="E11" s="179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175"/>
      <c r="G11" s="134"/>
      <c r="H11" s="2064"/>
    </row>
    <row r="12" spans="1:17" ht="14.25" customHeight="1">
      <c r="A12" s="34"/>
      <c r="C12" s="320"/>
      <c r="D12" s="71" t="s">
        <v>75</v>
      </c>
      <c r="E12" s="321" t="str">
        <f>"Сведения о планировании закупочных процедур"&amp;IF(TEMPLATE_SPHERE="TKO"," &lt;1&gt;","")</f>
        <v>Сведения о планировании закупочных процедур</v>
      </c>
      <c r="F12" s="175"/>
      <c r="G12" s="134"/>
      <c r="H12" s="206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74"/>
      <c r="K12" s="301"/>
    </row>
    <row r="13" spans="1:17" ht="14.25" customHeight="1">
      <c r="A13" s="34"/>
      <c r="C13" s="320"/>
      <c r="D13" s="71" t="s">
        <v>76</v>
      </c>
      <c r="E13" s="321" t="str">
        <f>"Сведения о результатах проведения закупочных процедур"&amp;IF(TEMPLATE_SPHERE="TKO"," &lt;1&gt;","")</f>
        <v>Сведения о результатах проведения закупочных процедур</v>
      </c>
      <c r="F13" s="175"/>
      <c r="G13" s="134"/>
      <c r="H13" s="2064"/>
      <c r="I13" s="274"/>
      <c r="K13" s="301"/>
    </row>
    <row r="14" spans="1:17" ht="14.25" customHeight="1">
      <c r="A14" s="267"/>
      <c r="C14" s="304"/>
      <c r="D14" s="271"/>
      <c r="E14" s="328" t="s">
        <v>999</v>
      </c>
      <c r="F14" s="273"/>
      <c r="G14" s="122"/>
      <c r="H14" s="2065"/>
    </row>
    <row r="15" spans="1:17" s="1859" customFormat="1" ht="14.25" customHeight="1">
      <c r="A15" s="267"/>
      <c r="B15" s="1062"/>
      <c r="C15" s="304"/>
      <c r="D15" s="329"/>
      <c r="E15" s="1590"/>
      <c r="F15" s="1591"/>
      <c r="G15" s="1592"/>
      <c r="H15" s="1593"/>
      <c r="J15" s="1538"/>
      <c r="K15" s="1538"/>
    </row>
    <row r="16" spans="1:17" ht="14.25" customHeight="1">
      <c r="D16" s="1594"/>
      <c r="E16" s="2145"/>
      <c r="F16" s="2145"/>
      <c r="G16" s="2145"/>
      <c r="H16" s="2145"/>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U29"/>
  <sheetViews>
    <sheetView showGridLines="0" topLeftCell="C4" zoomScale="90" workbookViewId="0"/>
  </sheetViews>
  <sheetFormatPr defaultColWidth="10.5703125" defaultRowHeight="15" customHeight="1"/>
  <cols>
    <col min="1" max="1" width="9.140625" style="1871" hidden="1" customWidth="1"/>
    <col min="2" max="2" width="9.140625" style="1873" hidden="1" customWidth="1"/>
    <col min="3" max="3" width="4.7109375" style="1918" customWidth="1"/>
    <col min="4" max="4" width="6.28515625" style="1873" customWidth="1"/>
    <col min="5" max="5" width="47.85546875" style="1873" customWidth="1"/>
    <col min="6" max="6" width="9.5703125" style="1873" customWidth="1"/>
    <col min="7" max="7" width="25.7109375" style="1814" hidden="1" customWidth="1"/>
    <col min="8" max="8" width="34" style="1814" hidden="1" customWidth="1"/>
    <col min="9" max="9" width="25.7109375" style="1873" customWidth="1"/>
    <col min="10" max="10" width="34" style="1873" customWidth="1"/>
    <col min="11" max="11" width="50.85546875" style="1815" customWidth="1"/>
    <col min="12" max="20" width="10.5703125" style="1873"/>
    <col min="21" max="21" width="10.5703125" style="1917"/>
  </cols>
  <sheetData>
    <row r="1" spans="1:21" s="1815" customFormat="1" ht="15" hidden="1" customHeight="1">
      <c r="C1" s="592"/>
      <c r="G1" s="350">
        <v>4</v>
      </c>
      <c r="I1" s="350">
        <v>4</v>
      </c>
      <c r="U1" s="352"/>
    </row>
    <row r="2" spans="1:21" s="1816" customFormat="1" ht="15" hidden="1" customHeight="1">
      <c r="A2" s="288"/>
      <c r="C2" s="97"/>
      <c r="D2" s="270"/>
      <c r="E2" s="593"/>
      <c r="F2" s="447"/>
      <c r="G2" s="536"/>
      <c r="H2" s="536"/>
      <c r="I2" s="536"/>
      <c r="J2" s="536"/>
      <c r="U2" s="594"/>
    </row>
    <row r="3" spans="1:21" s="1815" customFormat="1" ht="15" hidden="1" customHeight="1">
      <c r="C3" s="592"/>
      <c r="U3" s="352"/>
    </row>
    <row r="4" spans="1:21" ht="15" customHeight="1">
      <c r="C4" s="97"/>
      <c r="D4" s="434"/>
      <c r="E4" s="434"/>
      <c r="F4" s="434"/>
      <c r="G4" s="434"/>
      <c r="H4" s="434"/>
      <c r="I4" s="434"/>
      <c r="J4" s="434"/>
    </row>
    <row r="5" spans="1:21" ht="63" customHeight="1">
      <c r="C5" s="97"/>
      <c r="D5" s="2012" t="s">
        <v>1033</v>
      </c>
      <c r="E5" s="2013"/>
      <c r="F5" s="2013"/>
      <c r="G5" s="2013"/>
      <c r="H5" s="2013"/>
      <c r="I5" s="2013"/>
      <c r="J5" s="2014"/>
    </row>
    <row r="6" spans="1:21" ht="15" customHeight="1">
      <c r="C6" s="97"/>
      <c r="D6" s="2121" t="str">
        <f>IF(org=0,"Не определено",org)</f>
        <v>ООО "Горводоканал"</v>
      </c>
      <c r="E6" s="2122"/>
      <c r="F6" s="2122"/>
      <c r="G6" s="2122"/>
      <c r="H6" s="2122"/>
      <c r="I6" s="2122"/>
      <c r="J6" s="2123"/>
      <c r="K6" s="461"/>
    </row>
    <row r="7" spans="1:21" ht="15" customHeight="1">
      <c r="C7" s="97"/>
      <c r="D7" s="670"/>
      <c r="E7" s="434"/>
      <c r="F7" s="434"/>
      <c r="G7" s="461">
        <v>22</v>
      </c>
      <c r="I7" s="461">
        <v>1</v>
      </c>
      <c r="J7" s="670"/>
    </row>
    <row r="8" spans="1:21" s="1814" customFormat="1" ht="0.75" customHeight="1">
      <c r="A8" s="677"/>
      <c r="C8" s="97"/>
      <c r="D8" s="434"/>
      <c r="E8" s="434"/>
      <c r="F8" s="434"/>
      <c r="G8" s="461"/>
      <c r="H8" s="670"/>
      <c r="I8" s="461" t="s">
        <v>99</v>
      </c>
      <c r="J8" s="670"/>
      <c r="K8" s="350"/>
      <c r="U8" s="595"/>
    </row>
    <row r="9" spans="1:21" ht="15" customHeight="1">
      <c r="C9" s="97"/>
      <c r="D9" s="629"/>
      <c r="E9" s="2224" t="s">
        <v>87</v>
      </c>
      <c r="F9" s="2225"/>
      <c r="G9" s="2245" t="str">
        <f>IF(G8="","",INDEX(DIFFERENTIATION_UNMERGE_VD,MATCH(G8,DIFFERENTIATION_ID_DIFF,0)))</f>
        <v/>
      </c>
      <c r="H9" s="2246"/>
      <c r="I9" s="2245">
        <f>IF(I8="","",INDEX(DIFFERENTIATION_UNMERGE_VD,MATCH(I8,DIFFERENTIATION_ID_DIFF,0)))</f>
        <v>0</v>
      </c>
      <c r="J9" s="2246"/>
      <c r="K9" s="2076" t="s">
        <v>269</v>
      </c>
    </row>
    <row r="10" spans="1:21" s="1814" customFormat="1" ht="15" customHeight="1">
      <c r="A10" s="677"/>
      <c r="C10" s="97"/>
      <c r="D10" s="629"/>
      <c r="E10" s="2224" t="s">
        <v>526</v>
      </c>
      <c r="F10" s="2225"/>
      <c r="G10" s="2245" t="str">
        <f>IF(G8="","",INDEX(DIFFERENTIATION_UNMERGE_AREA,MATCH(G8,DIFFERENTIATION_ID_DIFF,0)))</f>
        <v/>
      </c>
      <c r="H10" s="2246"/>
      <c r="I10" s="2245" t="str">
        <f>IF(I8="","",INDEX(DIFFERENTIATION_UNMERGE_AREA,MATCH(I8,DIFFERENTIATION_ID_DIFF,0)))</f>
        <v/>
      </c>
      <c r="J10" s="2246"/>
      <c r="K10" s="2081"/>
      <c r="U10" s="595"/>
    </row>
    <row r="11" spans="1:21" s="1814" customFormat="1" ht="15" customHeight="1">
      <c r="A11" s="677"/>
      <c r="C11" s="97"/>
      <c r="D11" s="629"/>
      <c r="E11" s="2224" t="s">
        <v>527</v>
      </c>
      <c r="F11" s="2225"/>
      <c r="G11" s="2245" t="str">
        <f>IF(G8="","",INDEX(DIFFERENTIATION_UNMERGE_SYSTEM,MATCH(G8,DIFFERENTIATION_ID_DIFF,0)))</f>
        <v/>
      </c>
      <c r="H11" s="2246"/>
      <c r="I11" s="2245" t="str">
        <f>IF(I8="","",INDEX(DIFFERENTIATION_UNMERGE_SYSTEM,MATCH(I8,DIFFERENTIATION_ID_DIFF,0)))</f>
        <v>без дифференциации</v>
      </c>
      <c r="J11" s="2246"/>
      <c r="K11" s="2081"/>
      <c r="U11" s="595"/>
    </row>
    <row r="12" spans="1:21" s="1814" customFormat="1" ht="15" customHeight="1">
      <c r="A12" s="677"/>
      <c r="C12" s="97"/>
      <c r="D12" s="2226" t="s">
        <v>268</v>
      </c>
      <c r="E12" s="2227"/>
      <c r="F12" s="2227"/>
      <c r="G12" s="801"/>
      <c r="H12" s="801"/>
      <c r="I12" s="801"/>
      <c r="J12" s="801"/>
      <c r="K12" s="2081"/>
      <c r="U12" s="595"/>
    </row>
    <row r="13" spans="1:21" ht="33.75" customHeight="1">
      <c r="C13" s="97"/>
      <c r="D13" s="723" t="s">
        <v>73</v>
      </c>
      <c r="E13" s="725" t="s">
        <v>270</v>
      </c>
      <c r="F13" s="725" t="s">
        <v>528</v>
      </c>
      <c r="G13" s="726" t="s">
        <v>271</v>
      </c>
      <c r="H13" s="725" t="s">
        <v>360</v>
      </c>
      <c r="I13" s="726" t="s">
        <v>271</v>
      </c>
      <c r="J13" s="725" t="s">
        <v>360</v>
      </c>
      <c r="K13" s="2132"/>
    </row>
    <row r="14" spans="1:21" ht="15" hidden="1" customHeight="1">
      <c r="C14" s="97"/>
      <c r="D14" s="515" t="s">
        <v>91</v>
      </c>
      <c r="E14" s="515" t="s">
        <v>92</v>
      </c>
      <c r="F14" s="515" t="s">
        <v>75</v>
      </c>
      <c r="G14" s="579" t="str">
        <f>G1&amp;".1"</f>
        <v>4.1</v>
      </c>
      <c r="H14" s="579"/>
      <c r="I14" s="579" t="str">
        <f>I1&amp;".1"</f>
        <v>4.1</v>
      </c>
      <c r="J14" s="579"/>
      <c r="K14" s="206"/>
    </row>
    <row r="15" spans="1:21" ht="22.5" hidden="1" customHeight="1">
      <c r="A15" s="430"/>
      <c r="C15" s="451"/>
      <c r="D15" s="446">
        <v>1</v>
      </c>
      <c r="E15" s="597" t="s">
        <v>685</v>
      </c>
      <c r="F15" s="446" t="s">
        <v>686</v>
      </c>
      <c r="G15" s="598"/>
      <c r="H15" s="598"/>
      <c r="I15" s="598"/>
      <c r="J15" s="598"/>
      <c r="K15" s="206" t="s">
        <v>687</v>
      </c>
    </row>
    <row r="16" spans="1:21" ht="22.5" hidden="1" customHeight="1">
      <c r="A16" s="430"/>
      <c r="C16" s="451"/>
      <c r="D16" s="446">
        <v>2</v>
      </c>
      <c r="E16" s="197" t="s">
        <v>688</v>
      </c>
      <c r="F16" s="446" t="s">
        <v>689</v>
      </c>
      <c r="G16" s="598"/>
      <c r="H16" s="598"/>
      <c r="I16" s="598"/>
      <c r="J16" s="598"/>
      <c r="K16" s="206" t="s">
        <v>690</v>
      </c>
    </row>
    <row r="17" spans="1:11" ht="123.75" hidden="1" customHeight="1">
      <c r="A17" s="430"/>
      <c r="C17" s="451"/>
      <c r="D17" s="446">
        <v>3</v>
      </c>
      <c r="E17" s="197" t="s">
        <v>1034</v>
      </c>
      <c r="F17" s="446" t="s">
        <v>274</v>
      </c>
      <c r="G17" s="598"/>
      <c r="H17" s="598"/>
      <c r="I17" s="598"/>
      <c r="J17" s="598"/>
      <c r="K17" s="206" t="s">
        <v>1035</v>
      </c>
    </row>
    <row r="18" spans="1:11" ht="45" customHeight="1">
      <c r="A18" s="430"/>
      <c r="C18" s="451"/>
      <c r="D18" s="446">
        <v>4</v>
      </c>
      <c r="E18" s="197" t="s">
        <v>691</v>
      </c>
      <c r="F18" s="446" t="s">
        <v>274</v>
      </c>
      <c r="G18" s="727" t="s">
        <v>274</v>
      </c>
      <c r="H18" s="728" t="s">
        <v>274</v>
      </c>
      <c r="I18" s="446" t="s">
        <v>274</v>
      </c>
      <c r="J18" s="502" t="s">
        <v>274</v>
      </c>
      <c r="K18" s="206" t="s">
        <v>1036</v>
      </c>
    </row>
    <row r="19" spans="1:11" ht="33.75" customHeight="1">
      <c r="A19" s="430"/>
      <c r="C19" s="451"/>
      <c r="D19" s="463" t="s">
        <v>629</v>
      </c>
      <c r="E19" s="483" t="s">
        <v>693</v>
      </c>
      <c r="F19" s="446" t="s">
        <v>694</v>
      </c>
      <c r="G19" s="735"/>
      <c r="H19" s="37"/>
      <c r="I19" s="735"/>
      <c r="J19" s="736"/>
      <c r="K19" s="599"/>
    </row>
    <row r="20" spans="1:11" ht="33.75" customHeight="1">
      <c r="A20" s="430"/>
      <c r="C20" s="451"/>
      <c r="D20" s="463" t="s">
        <v>672</v>
      </c>
      <c r="E20" s="483" t="s">
        <v>695</v>
      </c>
      <c r="F20" s="446" t="s">
        <v>696</v>
      </c>
      <c r="G20" s="735"/>
      <c r="H20" s="37"/>
      <c r="I20" s="735"/>
      <c r="J20" s="37"/>
      <c r="K20" s="599"/>
    </row>
    <row r="21" spans="1:11" ht="45" customHeight="1">
      <c r="A21" s="430"/>
      <c r="C21" s="451"/>
      <c r="D21" s="463" t="s">
        <v>675</v>
      </c>
      <c r="E21" s="483" t="s">
        <v>697</v>
      </c>
      <c r="F21" s="446" t="s">
        <v>533</v>
      </c>
      <c r="G21" s="600"/>
      <c r="H21" s="37"/>
      <c r="I21" s="600"/>
      <c r="J21" s="37"/>
      <c r="K21" s="599"/>
    </row>
    <row r="22" spans="1:11" ht="67.5" hidden="1" customHeight="1">
      <c r="A22" s="430"/>
      <c r="C22" s="451"/>
      <c r="D22" s="446">
        <v>5</v>
      </c>
      <c r="E22" s="197" t="s">
        <v>1037</v>
      </c>
      <c r="F22" s="446" t="s">
        <v>520</v>
      </c>
      <c r="G22" s="601"/>
      <c r="H22" s="602"/>
      <c r="I22" s="601"/>
      <c r="J22" s="602"/>
      <c r="K22" s="206" t="s">
        <v>1038</v>
      </c>
    </row>
    <row r="23" spans="1:11" ht="33.75" hidden="1" customHeight="1">
      <c r="C23" s="381"/>
      <c r="D23" s="446">
        <v>6</v>
      </c>
      <c r="E23" s="197" t="s">
        <v>1039</v>
      </c>
      <c r="F23" s="446" t="s">
        <v>1040</v>
      </c>
      <c r="G23" s="601"/>
      <c r="H23" s="601"/>
      <c r="I23" s="601"/>
      <c r="J23" s="601"/>
      <c r="K23" s="206" t="s">
        <v>1041</v>
      </c>
    </row>
    <row r="29" spans="1:11" ht="15" customHeight="1">
      <c r="J29" s="737"/>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L15"/>
  <sheetViews>
    <sheetView showGridLines="0" topLeftCell="C4" zoomScale="90" workbookViewId="0"/>
  </sheetViews>
  <sheetFormatPr defaultColWidth="9.140625" defaultRowHeight="14.25" customHeight="1"/>
  <cols>
    <col min="1" max="1" width="9.140625" style="1942" hidden="1"/>
    <col min="2" max="2" width="9.140625" style="1943" hidden="1"/>
    <col min="3" max="3" width="3.7109375" style="1944" customWidth="1"/>
    <col min="4" max="4" width="7" style="1947" customWidth="1"/>
    <col min="5" max="5" width="23.140625" style="1947" customWidth="1"/>
    <col min="6" max="6" width="16" style="1947" customWidth="1"/>
    <col min="7" max="7" width="14.85546875" style="1947" customWidth="1"/>
    <col min="8" max="8" width="47.85546875" style="1947" customWidth="1"/>
    <col min="9" max="9" width="115.7109375" style="1947" customWidth="1"/>
    <col min="10" max="10" width="3.7109375" style="1947" customWidth="1"/>
    <col min="11" max="12" width="9.140625" style="1947"/>
  </cols>
  <sheetData>
    <row r="1" spans="1:12" ht="14.25" hidden="1" customHeight="1"/>
    <row r="2" spans="1:12" ht="14.25" hidden="1" customHeight="1"/>
    <row r="3" spans="1:12" ht="14.25" hidden="1" customHeight="1"/>
    <row r="4" spans="1:12" ht="3" customHeight="1"/>
    <row r="5" spans="1:12" s="1825" customFormat="1" ht="30" customHeight="1">
      <c r="A5" s="45"/>
      <c r="C5" s="24"/>
      <c r="D5" s="2005" t="s">
        <v>1042</v>
      </c>
      <c r="E5" s="2005"/>
      <c r="F5" s="2005"/>
      <c r="G5" s="2005"/>
      <c r="H5" s="2005"/>
      <c r="I5" s="183"/>
    </row>
    <row r="6" spans="1:12" ht="3" hidden="1" customHeight="1">
      <c r="D6" s="49"/>
      <c r="E6" s="49"/>
      <c r="F6" s="49"/>
      <c r="G6" s="49"/>
      <c r="H6" s="49"/>
      <c r="I6" s="49"/>
    </row>
    <row r="7" spans="1:12" s="1942" customFormat="1" ht="14.25" customHeight="1">
      <c r="B7" s="46"/>
      <c r="C7" s="47"/>
      <c r="D7" s="50"/>
      <c r="E7" s="50"/>
      <c r="F7" s="50"/>
      <c r="G7" s="50"/>
      <c r="H7" s="670"/>
      <c r="I7" s="50"/>
      <c r="J7" s="51"/>
    </row>
    <row r="8" spans="1:12" ht="14.25" customHeight="1">
      <c r="D8" s="2107" t="s">
        <v>268</v>
      </c>
      <c r="E8" s="2107"/>
      <c r="F8" s="2107"/>
      <c r="G8" s="2107"/>
      <c r="H8" s="2107"/>
      <c r="I8" s="2107" t="s">
        <v>269</v>
      </c>
    </row>
    <row r="9" spans="1:12" ht="27.75" customHeight="1">
      <c r="D9" s="2107" t="s">
        <v>73</v>
      </c>
      <c r="E9" s="2107" t="s">
        <v>1043</v>
      </c>
      <c r="F9" s="2107"/>
      <c r="G9" s="2107"/>
      <c r="H9" s="2107"/>
      <c r="I9" s="2107"/>
    </row>
    <row r="10" spans="1:12" ht="22.5" customHeight="1">
      <c r="D10" s="2107"/>
      <c r="E10" s="54" t="s">
        <v>1044</v>
      </c>
      <c r="F10" s="54" t="s">
        <v>1045</v>
      </c>
      <c r="G10" s="54" t="s">
        <v>1046</v>
      </c>
      <c r="H10" s="54" t="s">
        <v>360</v>
      </c>
      <c r="I10" s="2107"/>
    </row>
    <row r="11" spans="1:12" ht="12" hidden="1" customHeight="1">
      <c r="D11" s="21" t="s">
        <v>91</v>
      </c>
      <c r="E11" s="21" t="s">
        <v>76</v>
      </c>
      <c r="F11" s="21" t="s">
        <v>93</v>
      </c>
      <c r="G11" s="21" t="s">
        <v>77</v>
      </c>
      <c r="H11" s="21" t="s">
        <v>78</v>
      </c>
      <c r="I11" s="21" t="s">
        <v>94</v>
      </c>
    </row>
    <row r="12" spans="1:12" s="1945" customFormat="1" ht="24.75" customHeight="1">
      <c r="A12" s="69" t="s">
        <v>75</v>
      </c>
      <c r="B12" s="52" t="s">
        <v>18</v>
      </c>
      <c r="C12" s="53"/>
      <c r="D12" s="55" t="s">
        <v>91</v>
      </c>
      <c r="E12" s="314"/>
      <c r="F12" s="314"/>
      <c r="G12" s="1646" t="s">
        <v>18</v>
      </c>
      <c r="H12" s="315"/>
      <c r="I12" s="2063" t="s">
        <v>1047</v>
      </c>
      <c r="K12" s="189"/>
      <c r="L12" s="190"/>
    </row>
    <row r="13" spans="1:12" ht="15" customHeight="1">
      <c r="A13" s="48"/>
      <c r="B13" s="48"/>
      <c r="C13" s="48"/>
      <c r="D13" s="40"/>
      <c r="E13" s="57" t="s">
        <v>437</v>
      </c>
      <c r="F13" s="56"/>
      <c r="G13" s="56"/>
      <c r="H13" s="135"/>
      <c r="I13" s="2065"/>
    </row>
    <row r="14" spans="1:12" ht="3" customHeight="1">
      <c r="A14" s="48"/>
      <c r="B14" s="48"/>
      <c r="C14" s="48"/>
    </row>
    <row r="15" spans="1:12" ht="27.75" customHeight="1">
      <c r="E15" s="2301" t="s">
        <v>1048</v>
      </c>
      <c r="F15" s="2301"/>
      <c r="G15" s="2301"/>
      <c r="H15" s="2301"/>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orientation="landscape"/>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I15"/>
  <sheetViews>
    <sheetView showGridLines="0" topLeftCell="C6" zoomScale="90" workbookViewId="0"/>
  </sheetViews>
  <sheetFormatPr defaultColWidth="9.140625" defaultRowHeight="14.25" customHeight="1"/>
  <cols>
    <col min="1" max="2" width="9.140625" style="1948" hidden="1"/>
    <col min="3" max="3" width="3.7109375" style="1949" customWidth="1"/>
    <col min="4" max="4" width="6.28515625" style="1948" customWidth="1"/>
    <col min="5" max="5" width="94.85546875" style="1948" customWidth="1"/>
    <col min="6" max="9" width="9.140625" style="1948"/>
  </cols>
  <sheetData>
    <row r="1" spans="3:9" ht="14.25" hidden="1" customHeight="1"/>
    <row r="2" spans="3:9" ht="14.25" hidden="1" customHeight="1"/>
    <row r="3" spans="3:9" ht="14.25" hidden="1" customHeight="1"/>
    <row r="4" spans="3:9" ht="14.25" hidden="1" customHeight="1"/>
    <row r="5" spans="3:9" ht="14.25" hidden="1" customHeight="1"/>
    <row r="6" spans="3:9" ht="3" customHeight="1">
      <c r="C6" s="25"/>
      <c r="D6" s="6"/>
      <c r="E6" s="6"/>
    </row>
    <row r="7" spans="3:9" ht="22.5" customHeight="1">
      <c r="C7" s="25"/>
      <c r="D7" s="2302" t="s">
        <v>1049</v>
      </c>
      <c r="E7" s="2303"/>
      <c r="F7" s="185"/>
    </row>
    <row r="8" spans="3:9" ht="3" customHeight="1">
      <c r="C8" s="25"/>
      <c r="D8" s="6"/>
      <c r="E8" s="6"/>
    </row>
    <row r="9" spans="3:9" ht="15.75" customHeight="1">
      <c r="C9" s="25"/>
      <c r="D9" s="36" t="s">
        <v>73</v>
      </c>
      <c r="E9" s="178" t="s">
        <v>1050</v>
      </c>
    </row>
    <row r="10" spans="3:9" ht="0.75" customHeight="1">
      <c r="C10" s="25"/>
      <c r="D10" s="21"/>
      <c r="E10" s="21"/>
    </row>
    <row r="11" spans="3:9" ht="11.25" hidden="1" customHeight="1">
      <c r="C11" s="25"/>
      <c r="D11" s="74">
        <v>0</v>
      </c>
      <c r="E11" s="179"/>
    </row>
    <row r="12" spans="3:9" ht="15" customHeight="1">
      <c r="C12" s="62"/>
      <c r="D12" s="43">
        <v>1</v>
      </c>
      <c r="E12" s="307"/>
    </row>
    <row r="13" spans="3:9" ht="12" customHeight="1">
      <c r="C13" s="25"/>
      <c r="D13" s="180"/>
      <c r="E13" s="181" t="s">
        <v>1051</v>
      </c>
    </row>
    <row r="14" spans="3:9" ht="3" customHeight="1"/>
    <row r="15" spans="3:9" ht="22.5" customHeight="1">
      <c r="C15" s="63"/>
      <c r="D15" s="2301" t="s">
        <v>1052</v>
      </c>
      <c r="E15" s="2301"/>
      <c r="F15" s="64"/>
      <c r="G15" s="64"/>
      <c r="H15" s="64"/>
      <c r="I15" s="64"/>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topLeftCell="C4" zoomScale="90" workbookViewId="0"/>
  </sheetViews>
  <sheetFormatPr defaultColWidth="9.140625" defaultRowHeight="11.25" customHeight="1"/>
  <cols>
    <col min="1" max="2" width="15" style="1862" hidden="1" customWidth="1"/>
    <col min="3" max="3" width="3.7109375" style="1864" customWidth="1"/>
    <col min="4" max="4" width="6.85546875" style="1865" customWidth="1"/>
    <col min="5" max="5" width="52.28515625" style="1864" customWidth="1"/>
    <col min="6" max="6" width="48.85546875" style="1864" customWidth="1"/>
    <col min="7" max="7" width="93.42578125" style="1864" customWidth="1"/>
    <col min="8" max="8" width="9.140625" style="1864"/>
    <col min="9" max="9" width="65" style="1864" customWidth="1"/>
  </cols>
  <sheetData>
    <row r="1" spans="1:9" ht="11.25" hidden="1" customHeight="1">
      <c r="A1" s="426" t="s">
        <v>267</v>
      </c>
    </row>
    <row r="2" spans="1:9" ht="22.5" hidden="1" customHeight="1">
      <c r="A2" s="427"/>
      <c r="B2" s="427"/>
      <c r="C2" s="384"/>
      <c r="D2" s="1432"/>
      <c r="E2" s="1438"/>
      <c r="F2" s="1466"/>
      <c r="H2" s="401"/>
    </row>
    <row r="3" spans="1:9" ht="11.25" hidden="1" customHeight="1"/>
    <row r="4" spans="1:9" ht="11.25" customHeight="1">
      <c r="A4" s="1467"/>
      <c r="B4" s="1467"/>
    </row>
    <row r="5" spans="1:9" ht="24" customHeight="1">
      <c r="D5" s="2012"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водоотведения (далее – орган регулирования тарифов)</v>
      </c>
      <c r="E5" s="2013"/>
      <c r="F5" s="2014"/>
      <c r="I5" s="633"/>
    </row>
    <row r="6" spans="1:9" ht="17.25" customHeight="1">
      <c r="D6" s="2098" t="str">
        <f>IF(region_name=0,"Не определено",region_name)</f>
        <v>Пензенская область</v>
      </c>
      <c r="E6" s="2098"/>
      <c r="F6" s="2098"/>
      <c r="I6" s="633"/>
    </row>
    <row r="7" spans="1:9" s="1861" customFormat="1" ht="11.25" customHeight="1">
      <c r="A7" s="426"/>
      <c r="B7" s="426"/>
      <c r="D7" s="632"/>
      <c r="E7" s="632"/>
      <c r="F7" s="670"/>
      <c r="G7" s="632"/>
    </row>
    <row r="8" spans="1:9" ht="11.25" hidden="1" customHeight="1">
      <c r="A8" s="427"/>
      <c r="B8" s="427"/>
      <c r="C8" s="384"/>
      <c r="D8" s="389"/>
      <c r="E8" s="2105"/>
      <c r="F8" s="2105"/>
    </row>
    <row r="9" spans="1:9" ht="11.25" customHeight="1">
      <c r="A9" s="427"/>
      <c r="B9" s="427"/>
      <c r="C9" s="384"/>
      <c r="D9" s="2101" t="s">
        <v>268</v>
      </c>
      <c r="E9" s="2102"/>
      <c r="F9" s="2102"/>
      <c r="G9" s="2106" t="s">
        <v>269</v>
      </c>
    </row>
    <row r="10" spans="1:9" ht="11.25" customHeight="1">
      <c r="A10" s="427"/>
      <c r="B10" s="427"/>
      <c r="C10" s="384"/>
      <c r="D10" s="1386" t="s">
        <v>73</v>
      </c>
      <c r="E10" s="1388" t="s">
        <v>270</v>
      </c>
      <c r="F10" s="1388" t="s">
        <v>271</v>
      </c>
      <c r="G10" s="2107"/>
    </row>
    <row r="11" spans="1:9" ht="0.75" customHeight="1">
      <c r="A11" s="427"/>
      <c r="B11" s="427"/>
      <c r="C11" s="384"/>
      <c r="D11" s="390"/>
      <c r="E11" s="390"/>
      <c r="F11" s="390"/>
      <c r="G11" s="390"/>
    </row>
    <row r="12" spans="1:9" ht="22.5" customHeight="1">
      <c r="A12" s="427"/>
      <c r="B12" s="427"/>
      <c r="C12" s="384"/>
      <c r="D12" s="1432">
        <v>1</v>
      </c>
      <c r="E12" s="400" t="s">
        <v>1053</v>
      </c>
      <c r="F12" s="1771" t="str">
        <f>IF(org="","",org)</f>
        <v>ООО "Горводоканал"</v>
      </c>
      <c r="G12" s="400" t="s">
        <v>1054</v>
      </c>
      <c r="H12" s="1444"/>
    </row>
    <row r="13" spans="1:9" ht="18.75" customHeight="1">
      <c r="A13" s="427"/>
      <c r="B13" s="427"/>
      <c r="C13" s="384"/>
      <c r="D13" s="1432">
        <v>2</v>
      </c>
      <c r="E13" s="1439" t="s">
        <v>1055</v>
      </c>
      <c r="F13" s="1433" t="s">
        <v>274</v>
      </c>
      <c r="G13" s="400"/>
      <c r="H13" s="1444"/>
    </row>
    <row r="14" spans="1:9" ht="18.75" customHeight="1">
      <c r="A14" s="427"/>
      <c r="B14" s="427"/>
      <c r="C14" s="384"/>
      <c r="D14" s="1435" t="s">
        <v>584</v>
      </c>
      <c r="E14" s="1436" t="s">
        <v>1056</v>
      </c>
      <c r="F14" s="1438"/>
      <c r="G14" s="1437" t="s">
        <v>1057</v>
      </c>
      <c r="H14" s="1444"/>
    </row>
    <row r="15" spans="1:9" ht="18.75" customHeight="1">
      <c r="A15" s="427"/>
      <c r="B15" s="427"/>
      <c r="C15" s="384"/>
      <c r="D15" s="1435" t="s">
        <v>275</v>
      </c>
      <c r="E15" s="1436" t="s">
        <v>1058</v>
      </c>
      <c r="F15" s="1438"/>
      <c r="G15" s="1437" t="s">
        <v>1059</v>
      </c>
      <c r="H15" s="1444"/>
    </row>
    <row r="16" spans="1:9" ht="36.75" customHeight="1">
      <c r="A16" s="427"/>
      <c r="B16" s="427"/>
      <c r="C16" s="384"/>
      <c r="D16" s="1435" t="s">
        <v>278</v>
      </c>
      <c r="E16" s="1434" t="s">
        <v>1060</v>
      </c>
      <c r="F16" s="1442"/>
      <c r="G16" s="400" t="s">
        <v>1061</v>
      </c>
      <c r="H16" s="1444"/>
    </row>
    <row r="17" spans="1:9" ht="45" customHeight="1">
      <c r="A17" s="427"/>
      <c r="B17" s="427"/>
      <c r="C17" s="384"/>
      <c r="D17" s="1432">
        <v>3</v>
      </c>
      <c r="E17" s="1439" t="s">
        <v>1062</v>
      </c>
      <c r="F17" s="1438"/>
      <c r="G17" s="400" t="s">
        <v>1063</v>
      </c>
      <c r="H17" s="1444"/>
    </row>
    <row r="18" spans="1:9" ht="45" customHeight="1">
      <c r="A18" s="1387">
        <v>1</v>
      </c>
      <c r="B18" s="427"/>
      <c r="C18" s="1389"/>
      <c r="D18" s="1432" t="s">
        <v>76</v>
      </c>
      <c r="E18" s="1439" t="s">
        <v>1064</v>
      </c>
      <c r="F18" s="1438"/>
      <c r="G18" s="400" t="s">
        <v>1063</v>
      </c>
      <c r="H18" s="1444"/>
      <c r="I18" s="766"/>
    </row>
    <row r="19" spans="1:9" ht="22.5" customHeight="1">
      <c r="A19" s="427"/>
      <c r="B19" s="427"/>
      <c r="C19" s="384"/>
      <c r="D19" s="1432" t="s">
        <v>93</v>
      </c>
      <c r="E19" s="1439" t="s">
        <v>1065</v>
      </c>
      <c r="F19" s="1433" t="s">
        <v>274</v>
      </c>
      <c r="G19" s="2304" t="s">
        <v>1066</v>
      </c>
      <c r="H19" s="401"/>
    </row>
    <row r="20" spans="1:9" s="1950" customFormat="1" ht="5.25" hidden="1" customHeight="1">
      <c r="A20" s="427"/>
      <c r="B20" s="427"/>
      <c r="C20" s="1441"/>
      <c r="D20" s="1440" t="s">
        <v>992</v>
      </c>
      <c r="E20" s="923"/>
      <c r="F20" s="922"/>
      <c r="G20" s="2305"/>
    </row>
    <row r="21" spans="1:9" ht="15" customHeight="1">
      <c r="A21" s="427"/>
      <c r="B21" s="427"/>
      <c r="C21" s="384"/>
      <c r="D21" s="393"/>
      <c r="E21" s="348" t="s">
        <v>309</v>
      </c>
      <c r="F21" s="395"/>
      <c r="G21" s="2306"/>
      <c r="H21" s="1444"/>
    </row>
    <row r="22" spans="1:9" s="1862" customFormat="1" ht="24.75" customHeight="1">
      <c r="A22" s="427"/>
      <c r="B22" s="427"/>
      <c r="C22" s="427"/>
      <c r="D22" s="1432" t="s">
        <v>77</v>
      </c>
      <c r="E22" s="400" t="s">
        <v>1067</v>
      </c>
      <c r="F22" s="1438"/>
      <c r="G22" s="400" t="s">
        <v>1068</v>
      </c>
      <c r="H22" s="1443"/>
    </row>
    <row r="23" spans="1:9" s="1862" customFormat="1" ht="18.75" customHeight="1">
      <c r="A23" s="427"/>
      <c r="B23" s="427"/>
      <c r="C23" s="427"/>
      <c r="D23" s="1432" t="s">
        <v>78</v>
      </c>
      <c r="E23" s="1439" t="s">
        <v>1069</v>
      </c>
      <c r="F23" s="1442"/>
      <c r="G23" s="400" t="s">
        <v>1070</v>
      </c>
      <c r="H23" s="1443"/>
    </row>
    <row r="24" spans="1:9" ht="11.25" customHeight="1">
      <c r="A24" s="427"/>
      <c r="B24" s="427"/>
      <c r="C24" s="384"/>
    </row>
  </sheetData>
  <sheetProtection formatColumns="0" formatRows="0" insertRows="0" deleteColumns="0" deleteRows="0" sort="0" autoFilter="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3"/>
  <sheetViews>
    <sheetView showGridLines="0" topLeftCell="D4" zoomScale="90" workbookViewId="0"/>
  </sheetViews>
  <sheetFormatPr defaultColWidth="9.140625" defaultRowHeight="14.25" customHeight="1"/>
  <cols>
    <col min="1" max="1" width="9.140625" style="1856" hidden="1"/>
    <col min="2" max="2" width="9.140625" style="1882" hidden="1"/>
    <col min="3" max="3" width="3.7109375" style="1856" hidden="1" customWidth="1"/>
    <col min="4" max="4" width="3.85546875" style="1872" customWidth="1"/>
    <col min="5" max="5" width="6.28515625" style="1856" customWidth="1"/>
    <col min="6" max="6" width="46.7109375" style="1856" customWidth="1"/>
    <col min="7" max="8" width="16.7109375" style="1856" customWidth="1"/>
    <col min="9" max="9" width="35.28515625" style="1856" customWidth="1"/>
    <col min="10" max="10" width="89.5703125" style="1856" customWidth="1"/>
    <col min="11" max="11" width="3.7109375" style="1821" customWidth="1"/>
    <col min="12" max="14" width="9.140625" style="1821"/>
    <col min="15" max="15" width="25.7109375" style="1818" customWidth="1"/>
    <col min="16" max="16" width="14.42578125" style="1821" customWidth="1"/>
    <col min="17" max="20" width="9.140625" style="1819"/>
    <col min="21" max="254" width="9.140625" style="1856"/>
  </cols>
  <sheetData>
    <row r="1" spans="1:254" ht="14.25" hidden="1" customHeight="1"/>
    <row r="2" spans="1:254" s="1822" customFormat="1" ht="22.5" hidden="1" customHeight="1">
      <c r="A2" s="749"/>
      <c r="B2" s="1062">
        <v>1</v>
      </c>
      <c r="C2" s="1062"/>
      <c r="D2" s="719"/>
      <c r="E2" s="1396"/>
      <c r="F2" s="1403"/>
      <c r="G2" s="1403"/>
      <c r="H2" s="1403"/>
      <c r="I2" s="1449"/>
      <c r="J2" s="148"/>
      <c r="K2" s="1446" t="e">
        <f ca="1">MERGEVALUE(F2)</f>
        <v>#NAME?</v>
      </c>
      <c r="L2" s="436"/>
      <c r="M2" s="436"/>
      <c r="N2" s="425" t="str">
        <f t="array" ref="N2">IF(ISERROR(MATCH(MID(O2,1,250),MID(note_ter,1,250),0)),"n","y")</f>
        <v>n</v>
      </c>
      <c r="O2" s="436"/>
      <c r="P2" s="425" t="str">
        <f>G2&amp;"("&amp;J2&amp;")"</f>
        <v>()</v>
      </c>
      <c r="Q2" s="1062"/>
      <c r="R2" s="1062"/>
      <c r="S2" s="352"/>
      <c r="T2" s="1062"/>
      <c r="U2" s="1062"/>
      <c r="V2" s="1062"/>
      <c r="W2" s="354"/>
      <c r="X2" s="354"/>
      <c r="Y2" s="351"/>
      <c r="Z2" s="351"/>
      <c r="AA2" s="351"/>
      <c r="AB2" s="351"/>
      <c r="AC2" s="351"/>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51"/>
      <c r="BI2" s="351"/>
      <c r="BJ2" s="351"/>
      <c r="BK2" s="351"/>
      <c r="BL2" s="351"/>
      <c r="BM2" s="351"/>
      <c r="BN2" s="351"/>
      <c r="BO2" s="351"/>
      <c r="BP2" s="351"/>
      <c r="BQ2" s="351"/>
      <c r="BR2" s="351"/>
      <c r="BS2" s="351"/>
      <c r="BT2" s="354"/>
      <c r="BU2" s="354"/>
      <c r="BV2" s="354"/>
      <c r="BW2" s="354"/>
      <c r="BX2" s="354"/>
      <c r="BY2" s="354"/>
      <c r="BZ2" s="354"/>
      <c r="CA2" s="354"/>
      <c r="CB2" s="354"/>
      <c r="CC2" s="354"/>
    </row>
    <row r="3" spans="1:254" s="1811" customFormat="1" ht="5.25" hidden="1" customHeight="1">
      <c r="A3" s="421"/>
      <c r="D3" s="419"/>
      <c r="F3" s="165" t="s">
        <v>68</v>
      </c>
      <c r="G3" s="419" t="s">
        <v>69</v>
      </c>
      <c r="H3" s="419"/>
      <c r="I3" s="419"/>
      <c r="J3" s="147" t="s">
        <v>70</v>
      </c>
      <c r="K3" s="165" t="s">
        <v>68</v>
      </c>
      <c r="L3" s="165"/>
      <c r="M3" s="165"/>
      <c r="N3" s="165"/>
      <c r="O3" s="166"/>
      <c r="P3" s="165"/>
      <c r="Q3" s="165"/>
      <c r="R3" s="165"/>
      <c r="S3" s="165"/>
      <c r="T3" s="165"/>
      <c r="U3" s="147"/>
      <c r="V3" s="147"/>
      <c r="W3" s="147"/>
      <c r="X3" s="147"/>
      <c r="Y3" s="147"/>
      <c r="Z3" s="147"/>
      <c r="AA3" s="147"/>
      <c r="AB3" s="147"/>
      <c r="AC3" s="147"/>
      <c r="AD3" s="147"/>
      <c r="AE3" s="147"/>
      <c r="AF3" s="147"/>
      <c r="AG3" s="147"/>
      <c r="AH3" s="147"/>
      <c r="AI3" s="147"/>
      <c r="AJ3" s="147"/>
      <c r="AK3" s="147"/>
      <c r="AL3" s="147"/>
      <c r="AM3" s="147"/>
      <c r="AN3" s="147"/>
      <c r="AO3" s="147"/>
      <c r="AP3" s="147"/>
      <c r="AQ3" s="147"/>
      <c r="AR3" s="147"/>
      <c r="AS3" s="147"/>
      <c r="AT3" s="147"/>
      <c r="AU3" s="147"/>
      <c r="AV3" s="147"/>
      <c r="AW3" s="147"/>
      <c r="AX3" s="147"/>
      <c r="AY3" s="147"/>
      <c r="AZ3" s="147"/>
      <c r="BA3" s="147"/>
      <c r="BB3" s="147"/>
      <c r="BC3" s="147"/>
      <c r="BD3" s="147"/>
      <c r="BE3" s="147"/>
      <c r="BF3" s="147"/>
      <c r="BG3" s="147"/>
      <c r="BH3" s="147"/>
      <c r="BI3" s="147"/>
      <c r="BJ3" s="147"/>
      <c r="BK3" s="147"/>
      <c r="BL3" s="147"/>
      <c r="BM3" s="147"/>
      <c r="BN3" s="147"/>
      <c r="BO3" s="147"/>
      <c r="BP3" s="147"/>
      <c r="BQ3" s="147"/>
      <c r="BR3" s="147"/>
      <c r="BS3" s="147"/>
      <c r="BT3" s="147"/>
      <c r="BU3" s="147"/>
      <c r="BV3" s="147"/>
      <c r="BW3" s="147"/>
      <c r="BX3" s="147"/>
      <c r="BY3" s="147"/>
      <c r="BZ3" s="147"/>
      <c r="CA3" s="147"/>
      <c r="CB3" s="147"/>
      <c r="CC3" s="147"/>
      <c r="CD3" s="147"/>
      <c r="CE3" s="147"/>
      <c r="CF3" s="147"/>
      <c r="CG3" s="147"/>
      <c r="CH3" s="147"/>
      <c r="CI3" s="147"/>
      <c r="CJ3" s="147"/>
      <c r="CK3" s="147"/>
      <c r="CL3" s="147"/>
      <c r="CM3" s="147"/>
      <c r="CN3" s="147"/>
      <c r="CO3" s="147"/>
      <c r="CP3" s="147"/>
      <c r="CQ3" s="147"/>
      <c r="CR3" s="147"/>
      <c r="CS3" s="147"/>
      <c r="CT3" s="147"/>
      <c r="CU3" s="147"/>
      <c r="CV3" s="147"/>
      <c r="CW3" s="147"/>
      <c r="CX3" s="147"/>
      <c r="CY3" s="147"/>
      <c r="CZ3" s="147"/>
      <c r="DA3" s="147"/>
      <c r="DB3" s="147"/>
      <c r="DC3" s="147"/>
      <c r="DD3" s="147"/>
      <c r="DE3" s="147"/>
      <c r="DF3" s="147"/>
      <c r="DG3" s="147"/>
      <c r="DH3" s="147"/>
      <c r="DI3" s="147"/>
      <c r="DJ3" s="147"/>
      <c r="DK3" s="147"/>
      <c r="DL3" s="147"/>
      <c r="DM3" s="147"/>
      <c r="DN3" s="147"/>
      <c r="DO3" s="147"/>
      <c r="DP3" s="147"/>
      <c r="DQ3" s="147"/>
      <c r="DR3" s="147"/>
      <c r="DS3" s="147"/>
      <c r="DT3" s="147"/>
      <c r="DU3" s="147"/>
      <c r="DV3" s="147"/>
      <c r="DW3" s="147"/>
      <c r="DX3" s="147"/>
      <c r="DY3" s="147"/>
      <c r="DZ3" s="147"/>
      <c r="EA3" s="147"/>
      <c r="EB3" s="147"/>
      <c r="EC3" s="147"/>
      <c r="ED3" s="147"/>
      <c r="EE3" s="147"/>
      <c r="EF3" s="147"/>
      <c r="EG3" s="147"/>
      <c r="EH3" s="147"/>
      <c r="EI3" s="147"/>
      <c r="EJ3" s="147"/>
      <c r="EK3" s="147"/>
      <c r="EL3" s="147"/>
      <c r="EM3" s="147"/>
      <c r="EN3" s="147"/>
      <c r="EO3" s="147"/>
      <c r="EP3" s="147"/>
      <c r="EQ3" s="147"/>
      <c r="ER3" s="147"/>
      <c r="ES3" s="147"/>
      <c r="ET3" s="147"/>
      <c r="EU3" s="147"/>
      <c r="EV3" s="147"/>
      <c r="EW3" s="147"/>
      <c r="EX3" s="147"/>
      <c r="EY3" s="147"/>
      <c r="EZ3" s="147"/>
      <c r="FA3" s="147"/>
      <c r="FB3" s="147"/>
      <c r="FC3" s="147"/>
      <c r="FD3" s="147"/>
      <c r="FE3" s="147"/>
      <c r="FF3" s="147"/>
      <c r="FG3" s="147"/>
      <c r="FH3" s="147"/>
      <c r="FI3" s="147"/>
      <c r="FJ3" s="147"/>
      <c r="FK3" s="147"/>
      <c r="FL3" s="147"/>
      <c r="FM3" s="147"/>
      <c r="FN3" s="147"/>
      <c r="FO3" s="147"/>
      <c r="FP3" s="147"/>
      <c r="FQ3" s="147"/>
      <c r="FR3" s="147"/>
      <c r="FS3" s="147"/>
      <c r="FT3" s="147"/>
      <c r="FU3" s="147"/>
      <c r="FV3" s="147"/>
      <c r="FW3" s="147"/>
      <c r="FX3" s="147"/>
      <c r="FY3" s="147"/>
      <c r="FZ3" s="147"/>
      <c r="GA3" s="147"/>
      <c r="GB3" s="147"/>
      <c r="GC3" s="147"/>
      <c r="GD3" s="147"/>
      <c r="GE3" s="147"/>
      <c r="GF3" s="147"/>
      <c r="GG3" s="147"/>
      <c r="GH3" s="147"/>
      <c r="GI3" s="147"/>
      <c r="GJ3" s="147"/>
      <c r="GK3" s="147"/>
      <c r="GL3" s="147"/>
      <c r="GM3" s="147"/>
      <c r="GN3" s="147"/>
      <c r="GO3" s="147"/>
      <c r="GP3" s="147"/>
      <c r="GQ3" s="147"/>
      <c r="GR3" s="147"/>
      <c r="GS3" s="147"/>
      <c r="GT3" s="147"/>
      <c r="GU3" s="147"/>
      <c r="GV3" s="147"/>
      <c r="GW3" s="147"/>
      <c r="GX3" s="147"/>
      <c r="GY3" s="147"/>
      <c r="GZ3" s="147"/>
      <c r="HA3" s="147"/>
      <c r="HB3" s="147"/>
      <c r="HC3" s="147"/>
      <c r="HD3" s="147"/>
      <c r="HE3" s="147"/>
      <c r="HF3" s="147"/>
      <c r="HG3" s="147"/>
      <c r="HH3" s="147"/>
      <c r="HI3" s="147"/>
      <c r="HJ3" s="147"/>
      <c r="HK3" s="147"/>
      <c r="HL3" s="147"/>
      <c r="HM3" s="147"/>
      <c r="HN3" s="147"/>
      <c r="HO3" s="147"/>
      <c r="HP3" s="147"/>
      <c r="HQ3" s="147"/>
      <c r="HR3" s="147"/>
      <c r="HS3" s="147"/>
      <c r="HT3" s="147"/>
      <c r="HU3" s="147"/>
      <c r="HV3" s="147"/>
      <c r="HW3" s="147"/>
      <c r="HX3" s="147"/>
      <c r="HY3" s="147"/>
      <c r="HZ3" s="147"/>
      <c r="IA3" s="147"/>
      <c r="IB3" s="147"/>
      <c r="IC3" s="147"/>
      <c r="ID3" s="147"/>
      <c r="IE3" s="147"/>
      <c r="IF3" s="147"/>
      <c r="IG3" s="147"/>
      <c r="IH3" s="147"/>
      <c r="II3" s="147"/>
      <c r="IJ3" s="147"/>
      <c r="IK3" s="147"/>
      <c r="IL3" s="147"/>
      <c r="IM3" s="147"/>
      <c r="IN3" s="147"/>
      <c r="IO3" s="147"/>
      <c r="IP3" s="147"/>
      <c r="IQ3" s="147"/>
      <c r="IR3" s="147"/>
      <c r="IS3" s="147"/>
      <c r="IT3" s="147"/>
    </row>
    <row r="4" spans="1:254" s="1820" customFormat="1" ht="14.25" customHeight="1">
      <c r="A4" s="1057"/>
      <c r="B4" s="1062"/>
      <c r="C4" s="1057"/>
      <c r="D4" s="1407"/>
      <c r="E4" s="434"/>
      <c r="F4" s="434"/>
      <c r="G4" s="434"/>
      <c r="H4" s="434"/>
      <c r="I4" s="434"/>
      <c r="J4" s="87"/>
      <c r="K4" s="165"/>
      <c r="L4" s="425"/>
      <c r="M4" s="425"/>
      <c r="N4" s="425"/>
      <c r="O4" s="146"/>
      <c r="P4" s="425"/>
      <c r="Q4" s="145"/>
      <c r="R4" s="145"/>
      <c r="S4" s="145"/>
      <c r="T4" s="145"/>
    </row>
    <row r="5" spans="1:254" s="1820" customFormat="1" ht="25.5" customHeight="1">
      <c r="A5" s="1057"/>
      <c r="B5" s="1062"/>
      <c r="C5" s="1057"/>
      <c r="D5" s="1407"/>
      <c r="E5" s="2005"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организаций, в отношении которых орган регулирования тарифов осуществляет регулирование тарифов в сфере водоотведения</v>
      </c>
      <c r="F5" s="2005"/>
      <c r="G5" s="2005"/>
      <c r="H5" s="2005"/>
      <c r="I5" s="2005"/>
      <c r="J5" s="2005"/>
      <c r="K5" s="165"/>
      <c r="L5" s="425"/>
      <c r="M5" s="425"/>
      <c r="N5" s="425"/>
      <c r="O5" s="146"/>
      <c r="P5" s="425"/>
      <c r="Q5" s="145"/>
      <c r="R5" s="145"/>
      <c r="S5" s="145"/>
      <c r="T5" s="145"/>
    </row>
    <row r="6" spans="1:254" s="1820" customFormat="1" ht="14.25" customHeight="1">
      <c r="A6" s="1057"/>
      <c r="B6" s="1062"/>
      <c r="C6" s="1057"/>
      <c r="D6" s="1407"/>
      <c r="E6" s="434"/>
      <c r="F6" s="88"/>
      <c r="G6" s="88"/>
      <c r="H6" s="88"/>
      <c r="I6" s="88"/>
      <c r="J6" s="89"/>
      <c r="K6" s="425"/>
      <c r="L6" s="425"/>
      <c r="M6" s="425"/>
      <c r="N6" s="425"/>
      <c r="O6" s="146"/>
      <c r="P6" s="425"/>
      <c r="Q6" s="145"/>
      <c r="R6" s="145"/>
      <c r="S6" s="145"/>
      <c r="T6" s="145"/>
    </row>
    <row r="7" spans="1:254" s="1820" customFormat="1" ht="14.25" customHeight="1">
      <c r="A7" s="1057"/>
      <c r="B7" s="1062"/>
      <c r="C7" s="1057"/>
      <c r="D7" s="1407"/>
      <c r="E7" s="2001" t="s">
        <v>268</v>
      </c>
      <c r="F7" s="2006"/>
      <c r="G7" s="2006"/>
      <c r="H7" s="2006"/>
      <c r="I7" s="2006"/>
      <c r="J7" s="2307" t="s">
        <v>269</v>
      </c>
      <c r="K7" s="425"/>
      <c r="L7" s="425"/>
      <c r="M7" s="425"/>
      <c r="N7" s="425"/>
      <c r="O7" s="146"/>
      <c r="P7" s="425"/>
      <c r="Q7" s="145"/>
      <c r="R7" s="145"/>
      <c r="S7" s="145"/>
      <c r="T7" s="145"/>
    </row>
    <row r="8" spans="1:254" s="1820" customFormat="1" ht="20.25" customHeight="1">
      <c r="A8" s="1057"/>
      <c r="B8" s="1062"/>
      <c r="C8" s="1057"/>
      <c r="D8" s="1407"/>
      <c r="E8" s="1465" t="s">
        <v>73</v>
      </c>
      <c r="F8" s="1451" t="s">
        <v>1071</v>
      </c>
      <c r="G8" s="1451" t="s">
        <v>43</v>
      </c>
      <c r="H8" s="1451" t="s">
        <v>44</v>
      </c>
      <c r="I8" s="1451" t="s">
        <v>1072</v>
      </c>
      <c r="J8" s="2308"/>
      <c r="K8" s="425"/>
      <c r="L8" s="425"/>
      <c r="M8" s="425"/>
      <c r="N8" s="425"/>
      <c r="O8" s="146"/>
      <c r="P8" s="425"/>
      <c r="Q8" s="145"/>
      <c r="R8" s="145"/>
      <c r="S8" s="145"/>
      <c r="T8" s="145"/>
    </row>
    <row r="9" spans="1:254" s="1822" customFormat="1" ht="22.5" customHeight="1">
      <c r="A9" s="2004"/>
      <c r="B9" s="1062">
        <v>1</v>
      </c>
      <c r="C9" s="1062"/>
      <c r="D9" s="719"/>
      <c r="E9" s="1396">
        <v>1</v>
      </c>
      <c r="F9" s="1464"/>
      <c r="G9" s="1403"/>
      <c r="H9" s="1403"/>
      <c r="I9" s="1449"/>
      <c r="J9" s="2309" t="s">
        <v>1073</v>
      </c>
      <c r="K9" s="1446" t="e">
        <f ca="1">MERGEVALUE(F9)</f>
        <v>#NAME?</v>
      </c>
      <c r="L9" s="436"/>
      <c r="M9" s="436"/>
      <c r="N9" s="425" t="str">
        <f t="array" ref="N9">IF(ISERROR(MATCH(MID(O9,1,250),MID(note_ter,1,250),0)),"n","y")</f>
        <v>n</v>
      </c>
      <c r="O9" s="436"/>
      <c r="P9" s="425" t="str">
        <f>G9&amp;"("&amp;J9&amp;")"</f>
        <v>(Значение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v>
      </c>
      <c r="Q9" s="1062"/>
      <c r="R9" s="1062"/>
      <c r="S9" s="352"/>
      <c r="T9" s="1062"/>
      <c r="U9" s="1062"/>
      <c r="V9" s="1062"/>
      <c r="W9" s="354"/>
      <c r="X9" s="354"/>
      <c r="Y9" s="351"/>
      <c r="Z9" s="351"/>
      <c r="AA9" s="351"/>
      <c r="AB9" s="351"/>
      <c r="AC9" s="351"/>
      <c r="AD9" s="351"/>
      <c r="AE9" s="351"/>
      <c r="AF9" s="351"/>
      <c r="AG9" s="351"/>
      <c r="AH9" s="351"/>
      <c r="AI9" s="351"/>
      <c r="AJ9" s="351"/>
      <c r="AK9" s="351"/>
      <c r="AL9" s="351"/>
      <c r="AM9" s="351"/>
      <c r="AN9" s="351"/>
      <c r="AO9" s="351"/>
      <c r="AP9" s="351"/>
      <c r="AQ9" s="351"/>
      <c r="AR9" s="351"/>
      <c r="AS9" s="351"/>
      <c r="AT9" s="351"/>
      <c r="AU9" s="351"/>
      <c r="AV9" s="351"/>
      <c r="AW9" s="351"/>
      <c r="AX9" s="351"/>
      <c r="AY9" s="351"/>
      <c r="AZ9" s="351"/>
      <c r="BA9" s="351"/>
      <c r="BB9" s="351"/>
      <c r="BC9" s="351"/>
      <c r="BD9" s="351"/>
      <c r="BE9" s="351"/>
      <c r="BF9" s="351"/>
      <c r="BG9" s="351"/>
      <c r="BH9" s="351"/>
      <c r="BI9" s="351"/>
      <c r="BJ9" s="351"/>
      <c r="BK9" s="351"/>
      <c r="BL9" s="351"/>
      <c r="BM9" s="351"/>
      <c r="BN9" s="351"/>
      <c r="BO9" s="351"/>
      <c r="BP9" s="351"/>
      <c r="BQ9" s="351"/>
      <c r="BR9" s="351"/>
      <c r="BS9" s="351"/>
      <c r="BT9" s="354"/>
      <c r="BU9" s="354"/>
      <c r="BV9" s="354"/>
      <c r="BW9" s="354"/>
      <c r="BX9" s="354"/>
      <c r="BY9" s="354"/>
      <c r="BZ9" s="354"/>
      <c r="CA9" s="354"/>
      <c r="CB9" s="354"/>
      <c r="CC9" s="354"/>
    </row>
    <row r="10" spans="1:254" s="1822" customFormat="1" ht="15" customHeight="1">
      <c r="A10" s="2004"/>
      <c r="B10" s="1062"/>
      <c r="C10" s="345"/>
      <c r="D10" s="719"/>
      <c r="E10" s="1452"/>
      <c r="F10" s="1412" t="s">
        <v>1074</v>
      </c>
      <c r="G10" s="1453"/>
      <c r="H10" s="1453"/>
      <c r="I10" s="1453"/>
      <c r="J10" s="2310"/>
      <c r="K10" s="1447"/>
      <c r="L10" s="436"/>
      <c r="M10" s="436"/>
      <c r="N10" s="436"/>
      <c r="O10" s="425"/>
      <c r="P10" s="436"/>
      <c r="Q10" s="1062"/>
      <c r="R10" s="1062"/>
      <c r="S10" s="352"/>
      <c r="T10" s="1062"/>
      <c r="U10" s="1062"/>
      <c r="V10" s="1062"/>
      <c r="W10" s="354"/>
      <c r="X10" s="354"/>
      <c r="Y10" s="351"/>
      <c r="Z10" s="351"/>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351"/>
      <c r="BR10" s="351"/>
      <c r="BS10" s="351"/>
      <c r="BT10" s="354"/>
      <c r="BU10" s="354"/>
      <c r="BV10" s="354"/>
      <c r="BW10" s="354"/>
      <c r="BX10" s="354"/>
      <c r="BY10" s="354"/>
      <c r="BZ10" s="354"/>
      <c r="CA10" s="354"/>
      <c r="CB10" s="354"/>
      <c r="CC10" s="354"/>
    </row>
    <row r="11" spans="1:254" s="1820" customFormat="1" ht="21" customHeight="1">
      <c r="A11" s="1057"/>
      <c r="B11" s="1062"/>
      <c r="C11" s="1057"/>
      <c r="D11" s="381"/>
      <c r="E11" s="101"/>
      <c r="F11" s="101"/>
      <c r="G11" s="101"/>
      <c r="H11" s="101"/>
      <c r="I11" s="101"/>
      <c r="J11" s="101"/>
      <c r="K11" s="425"/>
      <c r="L11" s="425"/>
      <c r="M11" s="425"/>
      <c r="N11" s="425"/>
      <c r="O11" s="146"/>
      <c r="P11" s="425"/>
      <c r="Q11" s="145"/>
      <c r="R11" s="145"/>
      <c r="S11" s="145"/>
      <c r="T11" s="145"/>
    </row>
    <row r="12" spans="1:254" s="1820" customFormat="1" ht="14.25" customHeight="1">
      <c r="A12" s="1057"/>
      <c r="B12" s="1062"/>
      <c r="C12" s="1057"/>
      <c r="D12" s="381"/>
      <c r="E12" s="1057"/>
      <c r="F12" s="1057"/>
      <c r="G12" s="1057"/>
      <c r="H12" s="1057"/>
      <c r="I12" s="1057"/>
      <c r="J12" s="1057"/>
      <c r="K12" s="425"/>
      <c r="L12" s="425"/>
      <c r="M12" s="425"/>
      <c r="N12" s="425"/>
      <c r="O12" s="146"/>
      <c r="P12" s="425"/>
      <c r="Q12" s="145"/>
      <c r="R12" s="145"/>
      <c r="S12" s="145"/>
      <c r="T12" s="145"/>
    </row>
    <row r="13" spans="1:254" s="1820" customFormat="1" ht="0.75" customHeight="1">
      <c r="A13" s="1057"/>
      <c r="B13" s="1062"/>
      <c r="C13" s="1057"/>
      <c r="D13" s="381"/>
      <c r="E13" s="1057"/>
      <c r="F13" s="1057"/>
      <c r="G13" s="1057"/>
      <c r="H13" s="1057"/>
      <c r="I13" s="1057"/>
      <c r="J13" s="1057"/>
      <c r="K13" s="425"/>
      <c r="L13" s="425"/>
      <c r="M13" s="425"/>
      <c r="N13" s="425"/>
      <c r="O13" s="146"/>
      <c r="P13" s="425"/>
      <c r="Q13" s="145"/>
      <c r="R13" s="145"/>
      <c r="S13" s="145"/>
      <c r="T13" s="145"/>
    </row>
    <row r="14" spans="1:254" s="1826" customFormat="1" ht="10.5" customHeight="1">
      <c r="B14" s="752"/>
      <c r="D14" s="103"/>
      <c r="K14" s="425"/>
      <c r="L14" s="425"/>
      <c r="M14" s="425"/>
      <c r="N14" s="425"/>
      <c r="O14" s="146"/>
      <c r="P14" s="425"/>
      <c r="Q14" s="145"/>
      <c r="R14" s="145"/>
      <c r="S14" s="145"/>
      <c r="T14" s="145"/>
    </row>
    <row r="15" spans="1:254" s="1826" customFormat="1" ht="10.5" customHeight="1">
      <c r="B15" s="752"/>
      <c r="D15" s="103"/>
      <c r="K15" s="425"/>
      <c r="L15" s="425"/>
      <c r="M15" s="425"/>
      <c r="N15" s="425"/>
      <c r="O15" s="146"/>
      <c r="P15" s="425"/>
      <c r="Q15" s="145"/>
      <c r="R15" s="145"/>
      <c r="S15" s="145"/>
      <c r="T15" s="145"/>
    </row>
    <row r="19" spans="7:13" ht="14.25" customHeight="1">
      <c r="G19" s="300"/>
      <c r="H19" s="300"/>
      <c r="I19" s="300"/>
    </row>
    <row r="23" spans="7:13" ht="14.25" customHeight="1">
      <c r="K23" s="1057"/>
      <c r="L23" s="1057"/>
      <c r="M23" s="1057"/>
    </row>
  </sheetData>
  <sheetProtection formatColumns="0" formatRows="0" insertRows="0" deleteColumns="0" deleteRows="0" sort="0" autoFilter="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showGridLines="0" topLeftCell="D4" zoomScale="90" workbookViewId="0"/>
  </sheetViews>
  <sheetFormatPr defaultColWidth="9.140625" defaultRowHeight="14.25" customHeight="1"/>
  <cols>
    <col min="1" max="1" width="9.140625" style="1856" hidden="1"/>
    <col min="2" max="2" width="9.140625" style="1882" hidden="1"/>
    <col min="3" max="3" width="3.7109375" style="1856" hidden="1" customWidth="1"/>
    <col min="4" max="4" width="3.85546875" style="1872" customWidth="1"/>
    <col min="5" max="5" width="6.28515625" style="1856" customWidth="1"/>
    <col min="6" max="6" width="27.28515625" style="1856" customWidth="1"/>
    <col min="7" max="7" width="16.7109375" style="1856" customWidth="1"/>
    <col min="8" max="8" width="12.7109375" style="1856" customWidth="1"/>
    <col min="9" max="9" width="32.140625" style="1856" customWidth="1"/>
    <col min="10" max="11" width="41.85546875" style="1856" customWidth="1"/>
    <col min="12" max="12" width="89.5703125" style="1856" customWidth="1"/>
    <col min="13" max="13" width="3.7109375" style="1821" customWidth="1"/>
    <col min="14" max="16" width="9.140625" style="1821"/>
    <col min="17" max="17" width="25.7109375" style="1818" customWidth="1"/>
    <col min="18" max="18" width="14.42578125" style="1821" customWidth="1"/>
    <col min="19" max="22" width="9.140625" style="1819"/>
    <col min="23" max="256" width="9.140625" style="1856"/>
  </cols>
  <sheetData>
    <row r="1" spans="1:256" ht="14.25" hidden="1" customHeight="1"/>
    <row r="2" spans="1:256" s="1822" customFormat="1" ht="22.5" hidden="1" customHeight="1">
      <c r="A2" s="749"/>
      <c r="B2" s="1062">
        <v>1</v>
      </c>
      <c r="C2" s="1062"/>
      <c r="D2" s="719"/>
      <c r="E2" s="1396"/>
      <c r="F2" s="1450" t="str">
        <f>IF(ROIV_INFO_NAME="","",ROIV_INFO_NAME)</f>
        <v>ООО "Горводоканал"</v>
      </c>
      <c r="G2" s="1644" t="s">
        <v>18</v>
      </c>
      <c r="H2" s="1449"/>
      <c r="I2" s="1449"/>
      <c r="J2" s="1066"/>
      <c r="K2" s="1066"/>
      <c r="L2" s="148"/>
      <c r="M2" s="1446" t="e">
        <f ca="1">MERGEVALUE(F2)</f>
        <v>#NAME?</v>
      </c>
      <c r="N2" s="436"/>
      <c r="O2" s="436"/>
      <c r="P2" s="425" t="str">
        <f t="array" ref="P2">IF(ISERROR(MATCH(MID(Q2,1,250),MID(note_ter,1,250),0)),"n","y")</f>
        <v>n</v>
      </c>
      <c r="Q2" s="436"/>
      <c r="R2" s="425" t="str">
        <f>G2&amp;"("&amp;L2&amp;")"</f>
        <v>()</v>
      </c>
      <c r="S2" s="1062"/>
      <c r="T2" s="1062"/>
      <c r="U2" s="352"/>
      <c r="V2" s="1062"/>
      <c r="W2" s="1062"/>
      <c r="X2" s="1062"/>
      <c r="Y2" s="354"/>
      <c r="Z2" s="354"/>
      <c r="AA2" s="351"/>
      <c r="AB2" s="351"/>
      <c r="AC2" s="351"/>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51"/>
      <c r="BI2" s="351"/>
      <c r="BJ2" s="351"/>
      <c r="BK2" s="351"/>
      <c r="BL2" s="351"/>
      <c r="BM2" s="351"/>
      <c r="BN2" s="351"/>
      <c r="BO2" s="351"/>
      <c r="BP2" s="351"/>
      <c r="BQ2" s="351"/>
      <c r="BR2" s="351"/>
      <c r="BS2" s="351"/>
      <c r="BT2" s="351"/>
      <c r="BU2" s="351"/>
      <c r="BV2" s="354"/>
      <c r="BW2" s="354"/>
      <c r="BX2" s="354"/>
      <c r="BY2" s="354"/>
      <c r="BZ2" s="354"/>
      <c r="CA2" s="354"/>
      <c r="CB2" s="354"/>
      <c r="CC2" s="354"/>
      <c r="CD2" s="354"/>
      <c r="CE2" s="354"/>
    </row>
    <row r="3" spans="1:256" s="1811" customFormat="1" ht="5.25" hidden="1" customHeight="1">
      <c r="A3" s="421"/>
      <c r="D3" s="419"/>
      <c r="F3" s="165" t="s">
        <v>68</v>
      </c>
      <c r="G3" s="1647" t="s">
        <v>69</v>
      </c>
      <c r="H3" s="419"/>
      <c r="I3" s="419"/>
      <c r="J3" s="419"/>
      <c r="K3" s="419"/>
      <c r="L3" s="147" t="s">
        <v>70</v>
      </c>
      <c r="M3" s="165" t="s">
        <v>68</v>
      </c>
      <c r="N3" s="165"/>
      <c r="O3" s="165"/>
      <c r="P3" s="165"/>
      <c r="Q3" s="166"/>
      <c r="R3" s="165"/>
      <c r="S3" s="165"/>
      <c r="T3" s="165"/>
      <c r="U3" s="165"/>
      <c r="V3" s="165"/>
      <c r="W3" s="147"/>
      <c r="X3" s="147"/>
      <c r="Y3" s="147"/>
      <c r="Z3" s="147"/>
      <c r="AA3" s="147"/>
      <c r="AB3" s="147"/>
      <c r="AC3" s="147"/>
      <c r="AD3" s="147"/>
      <c r="AE3" s="147"/>
      <c r="AF3" s="147"/>
      <c r="AG3" s="147"/>
      <c r="AH3" s="147"/>
      <c r="AI3" s="147"/>
      <c r="AJ3" s="147"/>
      <c r="AK3" s="147"/>
      <c r="AL3" s="147"/>
      <c r="AM3" s="147"/>
      <c r="AN3" s="147"/>
      <c r="AO3" s="147"/>
      <c r="AP3" s="147"/>
      <c r="AQ3" s="147"/>
      <c r="AR3" s="147"/>
      <c r="AS3" s="147"/>
      <c r="AT3" s="147"/>
      <c r="AU3" s="147"/>
      <c r="AV3" s="147"/>
      <c r="AW3" s="147"/>
      <c r="AX3" s="147"/>
      <c r="AY3" s="147"/>
      <c r="AZ3" s="147"/>
      <c r="BA3" s="147"/>
      <c r="BB3" s="147"/>
      <c r="BC3" s="147"/>
      <c r="BD3" s="147"/>
      <c r="BE3" s="147"/>
      <c r="BF3" s="147"/>
      <c r="BG3" s="147"/>
      <c r="BH3" s="147"/>
      <c r="BI3" s="147"/>
      <c r="BJ3" s="147"/>
      <c r="BK3" s="147"/>
      <c r="BL3" s="147"/>
      <c r="BM3" s="147"/>
      <c r="BN3" s="147"/>
      <c r="BO3" s="147"/>
      <c r="BP3" s="147"/>
      <c r="BQ3" s="147"/>
      <c r="BR3" s="147"/>
      <c r="BS3" s="147"/>
      <c r="BT3" s="147"/>
      <c r="BU3" s="147"/>
      <c r="BV3" s="147"/>
      <c r="BW3" s="147"/>
      <c r="BX3" s="147"/>
      <c r="BY3" s="147"/>
      <c r="BZ3" s="147"/>
      <c r="CA3" s="147"/>
      <c r="CB3" s="147"/>
      <c r="CC3" s="147"/>
      <c r="CD3" s="147"/>
      <c r="CE3" s="147"/>
      <c r="CF3" s="147"/>
      <c r="CG3" s="147"/>
      <c r="CH3" s="147"/>
      <c r="CI3" s="147"/>
      <c r="CJ3" s="147"/>
      <c r="CK3" s="147"/>
      <c r="CL3" s="147"/>
      <c r="CM3" s="147"/>
      <c r="CN3" s="147"/>
      <c r="CO3" s="147"/>
      <c r="CP3" s="147"/>
      <c r="CQ3" s="147"/>
      <c r="CR3" s="147"/>
      <c r="CS3" s="147"/>
      <c r="CT3" s="147"/>
      <c r="CU3" s="147"/>
      <c r="CV3" s="147"/>
      <c r="CW3" s="147"/>
      <c r="CX3" s="147"/>
      <c r="CY3" s="147"/>
      <c r="CZ3" s="147"/>
      <c r="DA3" s="147"/>
      <c r="DB3" s="147"/>
      <c r="DC3" s="147"/>
      <c r="DD3" s="147"/>
      <c r="DE3" s="147"/>
      <c r="DF3" s="147"/>
      <c r="DG3" s="147"/>
      <c r="DH3" s="147"/>
      <c r="DI3" s="147"/>
      <c r="DJ3" s="147"/>
      <c r="DK3" s="147"/>
      <c r="DL3" s="147"/>
      <c r="DM3" s="147"/>
      <c r="DN3" s="147"/>
      <c r="DO3" s="147"/>
      <c r="DP3" s="147"/>
      <c r="DQ3" s="147"/>
      <c r="DR3" s="147"/>
      <c r="DS3" s="147"/>
      <c r="DT3" s="147"/>
      <c r="DU3" s="147"/>
      <c r="DV3" s="147"/>
      <c r="DW3" s="147"/>
      <c r="DX3" s="147"/>
      <c r="DY3" s="147"/>
      <c r="DZ3" s="147"/>
      <c r="EA3" s="147"/>
      <c r="EB3" s="147"/>
      <c r="EC3" s="147"/>
      <c r="ED3" s="147"/>
      <c r="EE3" s="147"/>
      <c r="EF3" s="147"/>
      <c r="EG3" s="147"/>
      <c r="EH3" s="147"/>
      <c r="EI3" s="147"/>
      <c r="EJ3" s="147"/>
      <c r="EK3" s="147"/>
      <c r="EL3" s="147"/>
      <c r="EM3" s="147"/>
      <c r="EN3" s="147"/>
      <c r="EO3" s="147"/>
      <c r="EP3" s="147"/>
      <c r="EQ3" s="147"/>
      <c r="ER3" s="147"/>
      <c r="ES3" s="147"/>
      <c r="ET3" s="147"/>
      <c r="EU3" s="147"/>
      <c r="EV3" s="147"/>
      <c r="EW3" s="147"/>
      <c r="EX3" s="147"/>
      <c r="EY3" s="147"/>
      <c r="EZ3" s="147"/>
      <c r="FA3" s="147"/>
      <c r="FB3" s="147"/>
      <c r="FC3" s="147"/>
      <c r="FD3" s="147"/>
      <c r="FE3" s="147"/>
      <c r="FF3" s="147"/>
      <c r="FG3" s="147"/>
      <c r="FH3" s="147"/>
      <c r="FI3" s="147"/>
      <c r="FJ3" s="147"/>
      <c r="FK3" s="147"/>
      <c r="FL3" s="147"/>
      <c r="FM3" s="147"/>
      <c r="FN3" s="147"/>
      <c r="FO3" s="147"/>
      <c r="FP3" s="147"/>
      <c r="FQ3" s="147"/>
      <c r="FR3" s="147"/>
      <c r="FS3" s="147"/>
      <c r="FT3" s="147"/>
      <c r="FU3" s="147"/>
      <c r="FV3" s="147"/>
      <c r="FW3" s="147"/>
      <c r="FX3" s="147"/>
      <c r="FY3" s="147"/>
      <c r="FZ3" s="147"/>
      <c r="GA3" s="147"/>
      <c r="GB3" s="147"/>
      <c r="GC3" s="147"/>
      <c r="GD3" s="147"/>
      <c r="GE3" s="147"/>
      <c r="GF3" s="147"/>
      <c r="GG3" s="147"/>
      <c r="GH3" s="147"/>
      <c r="GI3" s="147"/>
      <c r="GJ3" s="147"/>
      <c r="GK3" s="147"/>
      <c r="GL3" s="147"/>
      <c r="GM3" s="147"/>
      <c r="GN3" s="147"/>
      <c r="GO3" s="147"/>
      <c r="GP3" s="147"/>
      <c r="GQ3" s="147"/>
      <c r="GR3" s="147"/>
      <c r="GS3" s="147"/>
      <c r="GT3" s="147"/>
      <c r="GU3" s="147"/>
      <c r="GV3" s="147"/>
      <c r="GW3" s="147"/>
      <c r="GX3" s="147"/>
      <c r="GY3" s="147"/>
      <c r="GZ3" s="147"/>
      <c r="HA3" s="147"/>
      <c r="HB3" s="147"/>
      <c r="HC3" s="147"/>
      <c r="HD3" s="147"/>
      <c r="HE3" s="147"/>
      <c r="HF3" s="147"/>
      <c r="HG3" s="147"/>
      <c r="HH3" s="147"/>
      <c r="HI3" s="147"/>
      <c r="HJ3" s="147"/>
      <c r="HK3" s="147"/>
      <c r="HL3" s="147"/>
      <c r="HM3" s="147"/>
      <c r="HN3" s="147"/>
      <c r="HO3" s="147"/>
      <c r="HP3" s="147"/>
      <c r="HQ3" s="147"/>
      <c r="HR3" s="147"/>
      <c r="HS3" s="147"/>
      <c r="HT3" s="147"/>
      <c r="HU3" s="147"/>
      <c r="HV3" s="147"/>
      <c r="HW3" s="147"/>
      <c r="HX3" s="147"/>
      <c r="HY3" s="147"/>
      <c r="HZ3" s="147"/>
      <c r="IA3" s="147"/>
      <c r="IB3" s="147"/>
      <c r="IC3" s="147"/>
      <c r="ID3" s="147"/>
      <c r="IE3" s="147"/>
      <c r="IF3" s="147"/>
      <c r="IG3" s="147"/>
      <c r="IH3" s="147"/>
      <c r="II3" s="147"/>
      <c r="IJ3" s="147"/>
      <c r="IK3" s="147"/>
      <c r="IL3" s="147"/>
      <c r="IM3" s="147"/>
      <c r="IN3" s="147"/>
      <c r="IO3" s="147"/>
      <c r="IP3" s="147"/>
      <c r="IQ3" s="147"/>
      <c r="IR3" s="147"/>
      <c r="IS3" s="147"/>
      <c r="IT3" s="147"/>
      <c r="IU3" s="147"/>
      <c r="IV3" s="147"/>
    </row>
    <row r="4" spans="1:256" s="1820" customFormat="1" ht="14.25" customHeight="1">
      <c r="A4" s="1057"/>
      <c r="B4" s="1062"/>
      <c r="C4" s="1057"/>
      <c r="D4" s="1407"/>
      <c r="E4" s="434"/>
      <c r="F4" s="434"/>
      <c r="G4" s="434"/>
      <c r="H4" s="434"/>
      <c r="I4" s="434"/>
      <c r="J4" s="434"/>
      <c r="K4" s="434"/>
      <c r="L4" s="87"/>
      <c r="M4" s="165"/>
      <c r="N4" s="425"/>
      <c r="O4" s="425"/>
      <c r="P4" s="425"/>
      <c r="Q4" s="146"/>
      <c r="R4" s="425"/>
      <c r="S4" s="145"/>
      <c r="T4" s="145"/>
      <c r="U4" s="145"/>
      <c r="V4" s="145"/>
    </row>
    <row r="5" spans="1:256" s="1820" customFormat="1" ht="25.5" customHeight="1">
      <c r="A5" s="1057"/>
      <c r="B5" s="1062"/>
      <c r="C5" s="1057"/>
      <c r="D5" s="1407"/>
      <c r="E5" s="2005"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водоотведения</v>
      </c>
      <c r="F5" s="2005"/>
      <c r="G5" s="2005"/>
      <c r="H5" s="2005"/>
      <c r="I5" s="2005"/>
      <c r="J5" s="2005"/>
      <c r="K5" s="2005"/>
      <c r="L5" s="510"/>
      <c r="M5" s="165"/>
      <c r="N5" s="425"/>
      <c r="O5" s="425"/>
      <c r="P5" s="425"/>
      <c r="Q5" s="146"/>
      <c r="R5" s="425"/>
      <c r="S5" s="145"/>
      <c r="T5" s="145"/>
      <c r="U5" s="145"/>
      <c r="V5" s="145"/>
    </row>
    <row r="6" spans="1:256" s="1820" customFormat="1" ht="14.25" customHeight="1">
      <c r="A6" s="1057"/>
      <c r="B6" s="1062"/>
      <c r="C6" s="1057"/>
      <c r="D6" s="1407"/>
      <c r="E6" s="434"/>
      <c r="F6" s="88"/>
      <c r="G6" s="88"/>
      <c r="H6" s="88"/>
      <c r="I6" s="88"/>
      <c r="J6" s="88"/>
      <c r="K6" s="88"/>
      <c r="L6" s="89"/>
      <c r="M6" s="425"/>
      <c r="N6" s="425"/>
      <c r="O6" s="425"/>
      <c r="P6" s="425"/>
      <c r="Q6" s="146"/>
      <c r="R6" s="425"/>
      <c r="S6" s="145"/>
      <c r="T6" s="145"/>
      <c r="U6" s="145"/>
      <c r="V6" s="145"/>
    </row>
    <row r="7" spans="1:256" s="1820" customFormat="1" ht="14.25" customHeight="1">
      <c r="A7" s="1057"/>
      <c r="B7" s="1062"/>
      <c r="C7" s="1057"/>
      <c r="D7" s="1407"/>
      <c r="E7" s="2001" t="s">
        <v>268</v>
      </c>
      <c r="F7" s="2006"/>
      <c r="G7" s="2006"/>
      <c r="H7" s="2006"/>
      <c r="I7" s="2006"/>
      <c r="J7" s="2006"/>
      <c r="K7" s="2006"/>
      <c r="L7" s="2307" t="s">
        <v>269</v>
      </c>
      <c r="M7" s="425"/>
      <c r="N7" s="425"/>
      <c r="O7" s="425"/>
      <c r="P7" s="425"/>
      <c r="Q7" s="146"/>
      <c r="R7" s="425"/>
      <c r="S7" s="145"/>
      <c r="T7" s="145"/>
      <c r="U7" s="145"/>
      <c r="V7" s="145"/>
    </row>
    <row r="8" spans="1:256" s="1820" customFormat="1" ht="47.25" customHeight="1">
      <c r="A8" s="1057"/>
      <c r="B8" s="1062"/>
      <c r="C8" s="1057"/>
      <c r="D8" s="1407"/>
      <c r="E8" s="2312" t="s">
        <v>73</v>
      </c>
      <c r="F8" s="2312" t="s">
        <v>1053</v>
      </c>
      <c r="G8" s="2314"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водоотведения</v>
      </c>
      <c r="H8" s="2315"/>
      <c r="I8" s="2316"/>
      <c r="J8" s="2312"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водоотведения</v>
      </c>
      <c r="K8" s="2312"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v>
      </c>
      <c r="L8" s="2311"/>
      <c r="M8" s="425"/>
      <c r="N8" s="425"/>
      <c r="O8" s="425"/>
      <c r="P8" s="425"/>
      <c r="Q8" s="146"/>
      <c r="R8" s="425"/>
      <c r="S8" s="145"/>
      <c r="T8" s="145"/>
      <c r="U8" s="145"/>
      <c r="V8" s="145"/>
    </row>
    <row r="9" spans="1:256" s="1820" customFormat="1" ht="56.25" customHeight="1">
      <c r="A9" s="1057"/>
      <c r="B9" s="1062"/>
      <c r="C9" s="1057"/>
      <c r="D9" s="1407"/>
      <c r="E9" s="2313"/>
      <c r="F9" s="2313"/>
      <c r="G9" s="1448" t="s">
        <v>1075</v>
      </c>
      <c r="H9" s="1448" t="s">
        <v>1076</v>
      </c>
      <c r="I9" s="1448" t="s">
        <v>1077</v>
      </c>
      <c r="J9" s="2313"/>
      <c r="K9" s="2313"/>
      <c r="L9" s="2308"/>
      <c r="M9" s="425"/>
      <c r="N9" s="425"/>
      <c r="O9" s="425"/>
      <c r="P9" s="425"/>
      <c r="Q9" s="146"/>
      <c r="R9" s="425"/>
      <c r="S9" s="145"/>
      <c r="T9" s="145"/>
      <c r="U9" s="145"/>
      <c r="V9" s="145"/>
    </row>
    <row r="10" spans="1:256" s="1822" customFormat="1" ht="22.5" customHeight="1">
      <c r="A10" s="2004"/>
      <c r="B10" s="1062">
        <v>1</v>
      </c>
      <c r="C10" s="1062"/>
      <c r="D10" s="718"/>
      <c r="E10" s="716">
        <v>1</v>
      </c>
      <c r="F10" s="1450" t="str">
        <f>IF(ROIV_INFO_NAME="","",ROIV_INFO_NAME)</f>
        <v>ООО "Горводоканал"</v>
      </c>
      <c r="G10" s="1644" t="s">
        <v>18</v>
      </c>
      <c r="H10" s="1445"/>
      <c r="I10" s="1445"/>
      <c r="J10" s="1066"/>
      <c r="K10" s="1066"/>
      <c r="L10" s="2309" t="s">
        <v>1078</v>
      </c>
      <c r="M10" s="1446" t="e">
        <f ca="1">MERGEVALUE(F10)</f>
        <v>#NAME?</v>
      </c>
      <c r="N10" s="436"/>
      <c r="O10" s="436"/>
      <c r="P10" s="425" t="str">
        <f t="array" ref="P10">IF(ISERROR(MATCH(MID(Q10,1,250),MID(note_ter,1,250),0)),"n","y")</f>
        <v>n</v>
      </c>
      <c r="Q10" s="436"/>
      <c r="R10" s="425"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062"/>
      <c r="T10" s="1062"/>
      <c r="U10" s="352"/>
      <c r="V10" s="1062"/>
      <c r="W10" s="1062"/>
      <c r="X10" s="1062"/>
      <c r="Y10" s="354"/>
      <c r="Z10" s="354"/>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351"/>
      <c r="BR10" s="351"/>
      <c r="BS10" s="351"/>
      <c r="BT10" s="351"/>
      <c r="BU10" s="351"/>
      <c r="BV10" s="354"/>
      <c r="BW10" s="354"/>
      <c r="BX10" s="354"/>
      <c r="BY10" s="354"/>
      <c r="BZ10" s="354"/>
      <c r="CA10" s="354"/>
      <c r="CB10" s="354"/>
      <c r="CC10" s="354"/>
      <c r="CD10" s="354"/>
      <c r="CE10" s="354"/>
    </row>
    <row r="11" spans="1:256" s="1822" customFormat="1" ht="15" customHeight="1">
      <c r="A11" s="2004"/>
      <c r="B11" s="1062"/>
      <c r="C11" s="345"/>
      <c r="D11" s="719"/>
      <c r="E11" s="353"/>
      <c r="F11" s="349" t="s">
        <v>1079</v>
      </c>
      <c r="G11" s="108"/>
      <c r="H11" s="108"/>
      <c r="I11" s="108"/>
      <c r="J11" s="108"/>
      <c r="K11" s="108"/>
      <c r="L11" s="2310"/>
      <c r="M11" s="1447"/>
      <c r="N11" s="436"/>
      <c r="O11" s="436"/>
      <c r="P11" s="436"/>
      <c r="Q11" s="425"/>
      <c r="R11" s="436"/>
      <c r="S11" s="1062"/>
      <c r="T11" s="1062"/>
      <c r="U11" s="352"/>
      <c r="V11" s="1062"/>
      <c r="W11" s="1062"/>
      <c r="X11" s="1062"/>
      <c r="Y11" s="354"/>
      <c r="Z11" s="354"/>
      <c r="AA11" s="351"/>
      <c r="AB11" s="351"/>
      <c r="AC11" s="351"/>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4"/>
      <c r="BW11" s="354"/>
      <c r="BX11" s="354"/>
      <c r="BY11" s="354"/>
      <c r="BZ11" s="354"/>
      <c r="CA11" s="354"/>
      <c r="CB11" s="354"/>
      <c r="CC11" s="354"/>
      <c r="CD11" s="354"/>
      <c r="CE11" s="354"/>
    </row>
    <row r="12" spans="1:256" s="1820" customFormat="1" ht="21" customHeight="1">
      <c r="A12" s="1057"/>
      <c r="B12" s="1062"/>
      <c r="C12" s="1057"/>
      <c r="D12" s="381"/>
      <c r="E12" s="101"/>
      <c r="F12" s="101"/>
      <c r="G12" s="101"/>
      <c r="H12" s="101"/>
      <c r="I12" s="101"/>
      <c r="J12" s="101"/>
      <c r="K12" s="101"/>
      <c r="L12" s="101"/>
      <c r="M12" s="425"/>
      <c r="N12" s="425"/>
      <c r="O12" s="425"/>
      <c r="P12" s="425"/>
      <c r="Q12" s="146"/>
      <c r="R12" s="425"/>
      <c r="S12" s="145"/>
      <c r="T12" s="145"/>
      <c r="U12" s="145"/>
      <c r="V12" s="145"/>
    </row>
    <row r="13" spans="1:256" s="1820" customFormat="1" ht="14.25" customHeight="1">
      <c r="A13" s="1057"/>
      <c r="B13" s="1062"/>
      <c r="C13" s="1057"/>
      <c r="D13" s="381"/>
      <c r="E13" s="1057"/>
      <c r="F13" s="1057"/>
      <c r="G13" s="1057"/>
      <c r="H13" s="1057"/>
      <c r="I13" s="1057"/>
      <c r="J13" s="1057"/>
      <c r="K13" s="1057"/>
      <c r="L13" s="1057"/>
      <c r="M13" s="425"/>
      <c r="N13" s="425"/>
      <c r="O13" s="425"/>
      <c r="P13" s="425"/>
      <c r="Q13" s="146"/>
      <c r="R13" s="425"/>
      <c r="S13" s="145"/>
      <c r="T13" s="145"/>
      <c r="U13" s="145"/>
      <c r="V13" s="145"/>
    </row>
    <row r="14" spans="1:256" s="1820" customFormat="1" ht="0.75" customHeight="1">
      <c r="A14" s="1057"/>
      <c r="B14" s="1062"/>
      <c r="C14" s="1057"/>
      <c r="D14" s="381"/>
      <c r="E14" s="1057"/>
      <c r="F14" s="1057"/>
      <c r="G14" s="1057"/>
      <c r="H14" s="1057"/>
      <c r="I14" s="1057"/>
      <c r="J14" s="1057"/>
      <c r="K14" s="1057"/>
      <c r="L14" s="1057"/>
      <c r="M14" s="425"/>
      <c r="N14" s="425"/>
      <c r="O14" s="425"/>
      <c r="P14" s="425"/>
      <c r="Q14" s="146"/>
      <c r="R14" s="425"/>
      <c r="S14" s="145"/>
      <c r="T14" s="145"/>
      <c r="U14" s="145"/>
      <c r="V14" s="145"/>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Y16"/>
  <sheetViews>
    <sheetView showGridLines="0" topLeftCell="D5" zoomScale="90" workbookViewId="0"/>
  </sheetViews>
  <sheetFormatPr defaultColWidth="9.140625" defaultRowHeight="14.25" customHeight="1"/>
  <cols>
    <col min="1" max="1" width="9.140625" style="1856" hidden="1"/>
    <col min="2" max="2" width="9.140625" style="1882" hidden="1"/>
    <col min="3" max="3" width="3.7109375" style="1856" hidden="1" customWidth="1"/>
    <col min="4" max="4" width="3.85546875" style="1872" customWidth="1"/>
    <col min="5" max="5" width="10.140625" style="1856" customWidth="1"/>
    <col min="6" max="6" width="6.28515625" style="1856" customWidth="1"/>
    <col min="7" max="7" width="27.28515625" style="1856" customWidth="1"/>
    <col min="8" max="8" width="29.28515625" style="1856" customWidth="1"/>
    <col min="9" max="9" width="25.42578125" style="1856" customWidth="1"/>
    <col min="10" max="10" width="5.5703125" style="1856" customWidth="1"/>
    <col min="11" max="11" width="6.5703125" style="1856" customWidth="1"/>
    <col min="12" max="12" width="41.85546875" style="1856" customWidth="1"/>
    <col min="13" max="13" width="42.42578125" style="1856" customWidth="1"/>
    <col min="14" max="14" width="41.5703125" style="1856" customWidth="1"/>
    <col min="15" max="15" width="64.140625" style="1856" customWidth="1"/>
    <col min="16" max="16" width="3.7109375" style="1821" customWidth="1"/>
    <col min="17" max="19" width="9.140625" style="1821"/>
    <col min="20" max="20" width="25.7109375" style="1818" customWidth="1"/>
    <col min="21" max="21" width="14.42578125" style="1821" customWidth="1"/>
    <col min="22" max="25" width="9.140625" style="1819"/>
    <col min="26" max="259" width="9.140625" style="1856"/>
  </cols>
  <sheetData>
    <row r="1" spans="1:259" ht="14.25" hidden="1" customHeight="1"/>
    <row r="2" spans="1:259" s="1822" customFormat="1" ht="22.5" hidden="1" customHeight="1">
      <c r="A2" s="421"/>
      <c r="B2" s="1062">
        <v>1</v>
      </c>
      <c r="C2" s="1062"/>
      <c r="D2" s="719"/>
      <c r="E2" s="2019"/>
      <c r="F2" s="2019">
        <v>1</v>
      </c>
      <c r="G2" s="2317" t="str">
        <f>IF(region_name="","",region_name)</f>
        <v>Пензенская область</v>
      </c>
      <c r="H2" s="2318"/>
      <c r="I2" s="2319"/>
      <c r="J2" s="400"/>
      <c r="K2" s="1396">
        <v>1</v>
      </c>
      <c r="L2" s="1066"/>
      <c r="M2" s="1066"/>
      <c r="N2" s="1066"/>
      <c r="O2" s="1066"/>
      <c r="P2" s="1446" t="e">
        <f ca="1">MERGEVALUE(G2)</f>
        <v>#NAME?</v>
      </c>
      <c r="Q2" s="436"/>
      <c r="R2" s="436"/>
      <c r="S2" s="425" t="str">
        <f t="array" ref="S2">IF(ISERROR(MATCH(MID(T2,1,250),MID(note_ter,1,250),0)),"n","y")</f>
        <v>n</v>
      </c>
      <c r="T2" s="436"/>
      <c r="U2" s="425"/>
      <c r="V2" s="1062"/>
      <c r="W2" s="1062"/>
      <c r="X2" s="352"/>
      <c r="Y2" s="1062"/>
      <c r="Z2" s="1062"/>
      <c r="AA2" s="1062"/>
      <c r="AB2" s="354"/>
      <c r="AC2" s="354"/>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51"/>
      <c r="BI2" s="351"/>
      <c r="BJ2" s="351"/>
      <c r="BK2" s="351"/>
      <c r="BL2" s="351"/>
      <c r="BM2" s="351"/>
      <c r="BN2" s="351"/>
      <c r="BO2" s="351"/>
      <c r="BP2" s="351"/>
      <c r="BQ2" s="351"/>
      <c r="BR2" s="351"/>
      <c r="BS2" s="351"/>
      <c r="BT2" s="351"/>
      <c r="BU2" s="351"/>
      <c r="BV2" s="351"/>
      <c r="BW2" s="351"/>
      <c r="BX2" s="351"/>
      <c r="BY2" s="354"/>
      <c r="BZ2" s="354"/>
      <c r="CA2" s="354"/>
      <c r="CB2" s="354"/>
      <c r="CC2" s="354"/>
      <c r="CD2" s="354"/>
      <c r="CE2" s="354"/>
      <c r="CF2" s="354"/>
      <c r="CG2" s="354"/>
      <c r="CH2" s="354"/>
    </row>
    <row r="3" spans="1:259" s="1822" customFormat="1" ht="22.5" hidden="1" customHeight="1">
      <c r="A3" s="749"/>
      <c r="B3" s="1062"/>
      <c r="C3" s="1062"/>
      <c r="D3" s="719"/>
      <c r="E3" s="2019"/>
      <c r="F3" s="2019"/>
      <c r="G3" s="2317"/>
      <c r="H3" s="2318"/>
      <c r="I3" s="2320"/>
      <c r="J3" s="1455"/>
      <c r="K3" s="1412"/>
      <c r="L3" s="1412" t="s">
        <v>1080</v>
      </c>
      <c r="M3" s="1458"/>
      <c r="N3" s="1458"/>
      <c r="O3" s="1459"/>
      <c r="P3" s="1446"/>
      <c r="Q3" s="436"/>
      <c r="R3" s="436"/>
      <c r="S3" s="425"/>
      <c r="T3" s="436"/>
      <c r="U3" s="425"/>
      <c r="V3" s="1062"/>
      <c r="W3" s="1062"/>
      <c r="X3" s="352"/>
      <c r="Y3" s="1062"/>
      <c r="Z3" s="1062"/>
      <c r="AA3" s="1062"/>
      <c r="AB3" s="354"/>
      <c r="AC3" s="354"/>
      <c r="AD3" s="351"/>
      <c r="AE3" s="351"/>
      <c r="AF3" s="351"/>
      <c r="AG3" s="351"/>
      <c r="AH3" s="351"/>
      <c r="AI3" s="351"/>
      <c r="AJ3" s="351"/>
      <c r="AK3" s="351"/>
      <c r="AL3" s="351"/>
      <c r="AM3" s="351"/>
      <c r="AN3" s="351"/>
      <c r="AO3" s="351"/>
      <c r="AP3" s="351"/>
      <c r="AQ3" s="351"/>
      <c r="AR3" s="351"/>
      <c r="AS3" s="351"/>
      <c r="AT3" s="351"/>
      <c r="AU3" s="351"/>
      <c r="AV3" s="351"/>
      <c r="AW3" s="351"/>
      <c r="AX3" s="351"/>
      <c r="AY3" s="351"/>
      <c r="AZ3" s="351"/>
      <c r="BA3" s="351"/>
      <c r="BB3" s="351"/>
      <c r="BC3" s="351"/>
      <c r="BD3" s="351"/>
      <c r="BE3" s="351"/>
      <c r="BF3" s="351"/>
      <c r="BG3" s="351"/>
      <c r="BH3" s="351"/>
      <c r="BI3" s="351"/>
      <c r="BJ3" s="351"/>
      <c r="BK3" s="351"/>
      <c r="BL3" s="351"/>
      <c r="BM3" s="351"/>
      <c r="BN3" s="351"/>
      <c r="BO3" s="351"/>
      <c r="BP3" s="351"/>
      <c r="BQ3" s="351"/>
      <c r="BR3" s="351"/>
      <c r="BS3" s="351"/>
      <c r="BT3" s="351"/>
      <c r="BU3" s="351"/>
      <c r="BV3" s="351"/>
      <c r="BW3" s="351"/>
      <c r="BX3" s="351"/>
      <c r="BY3" s="354"/>
      <c r="BZ3" s="354"/>
      <c r="CA3" s="354"/>
      <c r="CB3" s="354"/>
      <c r="CC3" s="354"/>
      <c r="CD3" s="354"/>
      <c r="CE3" s="354"/>
      <c r="CF3" s="354"/>
      <c r="CG3" s="354"/>
      <c r="CH3" s="354"/>
    </row>
    <row r="4" spans="1:259" s="1811" customFormat="1" ht="5.25" hidden="1" customHeight="1">
      <c r="A4" s="421"/>
      <c r="D4" s="419"/>
      <c r="G4" s="165" t="s">
        <v>68</v>
      </c>
      <c r="H4" s="419" t="s">
        <v>69</v>
      </c>
      <c r="I4" s="419"/>
      <c r="J4" s="1460"/>
      <c r="K4" s="1460"/>
      <c r="L4" s="1460"/>
      <c r="M4" s="1460"/>
      <c r="N4" s="1460"/>
      <c r="O4" s="1460"/>
      <c r="P4" s="165" t="s">
        <v>68</v>
      </c>
      <c r="Q4" s="165"/>
      <c r="R4" s="165"/>
      <c r="S4" s="165"/>
      <c r="T4" s="166"/>
      <c r="U4" s="165"/>
      <c r="V4" s="165"/>
      <c r="W4" s="165"/>
      <c r="X4" s="165"/>
      <c r="Y4" s="165"/>
      <c r="Z4" s="147"/>
      <c r="AA4" s="147"/>
      <c r="AB4" s="147"/>
      <c r="AC4" s="147"/>
      <c r="AD4" s="147"/>
      <c r="AE4" s="147"/>
      <c r="AF4" s="147"/>
      <c r="AG4" s="147"/>
      <c r="AH4" s="147"/>
      <c r="AI4" s="147"/>
      <c r="AJ4" s="147"/>
      <c r="AK4" s="147"/>
      <c r="AL4" s="147"/>
      <c r="AM4" s="147"/>
      <c r="AN4" s="147"/>
      <c r="AO4" s="147"/>
      <c r="AP4" s="147"/>
      <c r="AQ4" s="147"/>
      <c r="AR4" s="147"/>
      <c r="AS4" s="147"/>
      <c r="AT4" s="147"/>
      <c r="AU4" s="147"/>
      <c r="AV4" s="147"/>
      <c r="AW4" s="147"/>
      <c r="AX4" s="147"/>
      <c r="AY4" s="147"/>
      <c r="AZ4" s="147"/>
      <c r="BA4" s="147"/>
      <c r="BB4" s="147"/>
      <c r="BC4" s="147"/>
      <c r="BD4" s="147"/>
      <c r="BE4" s="147"/>
      <c r="BF4" s="147"/>
      <c r="BG4" s="147"/>
      <c r="BH4" s="147"/>
      <c r="BI4" s="147"/>
      <c r="BJ4" s="147"/>
      <c r="BK4" s="147"/>
      <c r="BL4" s="147"/>
      <c r="BM4" s="147"/>
      <c r="BN4" s="147"/>
      <c r="BO4" s="147"/>
      <c r="BP4" s="147"/>
      <c r="BQ4" s="147"/>
      <c r="BR4" s="147"/>
      <c r="BS4" s="147"/>
      <c r="BT4" s="147"/>
      <c r="BU4" s="147"/>
      <c r="BV4" s="147"/>
      <c r="BW4" s="147"/>
      <c r="BX4" s="147"/>
      <c r="BY4" s="147"/>
      <c r="BZ4" s="147"/>
      <c r="CA4" s="147"/>
      <c r="CB4" s="147"/>
      <c r="CC4" s="147"/>
      <c r="CD4" s="147"/>
      <c r="CE4" s="147"/>
      <c r="CF4" s="147"/>
      <c r="CG4" s="147"/>
      <c r="CH4" s="147"/>
      <c r="CI4" s="147"/>
      <c r="CJ4" s="147"/>
      <c r="CK4" s="147"/>
      <c r="CL4" s="147"/>
      <c r="CM4" s="147"/>
      <c r="CN4" s="147"/>
      <c r="CO4" s="147"/>
      <c r="CP4" s="147"/>
      <c r="CQ4" s="147"/>
      <c r="CR4" s="147"/>
      <c r="CS4" s="147"/>
      <c r="CT4" s="147"/>
      <c r="CU4" s="147"/>
      <c r="CV4" s="147"/>
      <c r="CW4" s="147"/>
      <c r="CX4" s="147"/>
      <c r="CY4" s="147"/>
      <c r="CZ4" s="147"/>
      <c r="DA4" s="147"/>
      <c r="DB4" s="147"/>
      <c r="DC4" s="147"/>
      <c r="DD4" s="147"/>
      <c r="DE4" s="147"/>
      <c r="DF4" s="147"/>
      <c r="DG4" s="147"/>
      <c r="DH4" s="147"/>
      <c r="DI4" s="147"/>
      <c r="DJ4" s="147"/>
      <c r="DK4" s="147"/>
      <c r="DL4" s="147"/>
      <c r="DM4" s="147"/>
      <c r="DN4" s="147"/>
      <c r="DO4" s="147"/>
      <c r="DP4" s="147"/>
      <c r="DQ4" s="147"/>
      <c r="DR4" s="147"/>
      <c r="DS4" s="147"/>
      <c r="DT4" s="147"/>
      <c r="DU4" s="147"/>
      <c r="DV4" s="147"/>
      <c r="DW4" s="147"/>
      <c r="DX4" s="147"/>
      <c r="DY4" s="147"/>
      <c r="DZ4" s="147"/>
      <c r="EA4" s="147"/>
      <c r="EB4" s="147"/>
      <c r="EC4" s="147"/>
      <c r="ED4" s="147"/>
      <c r="EE4" s="147"/>
      <c r="EF4" s="147"/>
      <c r="EG4" s="147"/>
      <c r="EH4" s="147"/>
      <c r="EI4" s="147"/>
      <c r="EJ4" s="147"/>
      <c r="EK4" s="147"/>
      <c r="EL4" s="147"/>
      <c r="EM4" s="147"/>
      <c r="EN4" s="147"/>
      <c r="EO4" s="147"/>
      <c r="EP4" s="147"/>
      <c r="EQ4" s="147"/>
      <c r="ER4" s="147"/>
      <c r="ES4" s="147"/>
      <c r="ET4" s="147"/>
      <c r="EU4" s="147"/>
      <c r="EV4" s="147"/>
      <c r="EW4" s="147"/>
      <c r="EX4" s="147"/>
      <c r="EY4" s="147"/>
      <c r="EZ4" s="147"/>
      <c r="FA4" s="147"/>
      <c r="FB4" s="147"/>
      <c r="FC4" s="147"/>
      <c r="FD4" s="147"/>
      <c r="FE4" s="147"/>
      <c r="FF4" s="147"/>
      <c r="FG4" s="147"/>
      <c r="FH4" s="147"/>
      <c r="FI4" s="147"/>
      <c r="FJ4" s="147"/>
      <c r="FK4" s="147"/>
      <c r="FL4" s="147"/>
      <c r="FM4" s="147"/>
      <c r="FN4" s="147"/>
      <c r="FO4" s="147"/>
      <c r="FP4" s="147"/>
      <c r="FQ4" s="147"/>
      <c r="FR4" s="147"/>
      <c r="FS4" s="147"/>
      <c r="FT4" s="147"/>
      <c r="FU4" s="147"/>
      <c r="FV4" s="147"/>
      <c r="FW4" s="147"/>
      <c r="FX4" s="147"/>
      <c r="FY4" s="147"/>
      <c r="FZ4" s="147"/>
      <c r="GA4" s="147"/>
      <c r="GB4" s="147"/>
      <c r="GC4" s="147"/>
      <c r="GD4" s="147"/>
      <c r="GE4" s="147"/>
      <c r="GF4" s="147"/>
      <c r="GG4" s="147"/>
      <c r="GH4" s="147"/>
      <c r="GI4" s="147"/>
      <c r="GJ4" s="147"/>
      <c r="GK4" s="147"/>
      <c r="GL4" s="147"/>
      <c r="GM4" s="147"/>
      <c r="GN4" s="147"/>
      <c r="GO4" s="147"/>
      <c r="GP4" s="147"/>
      <c r="GQ4" s="147"/>
      <c r="GR4" s="147"/>
      <c r="GS4" s="147"/>
      <c r="GT4" s="147"/>
      <c r="GU4" s="147"/>
      <c r="GV4" s="147"/>
      <c r="GW4" s="147"/>
      <c r="GX4" s="147"/>
      <c r="GY4" s="147"/>
      <c r="GZ4" s="147"/>
      <c r="HA4" s="147"/>
      <c r="HB4" s="147"/>
      <c r="HC4" s="147"/>
      <c r="HD4" s="147"/>
      <c r="HE4" s="147"/>
      <c r="HF4" s="147"/>
      <c r="HG4" s="147"/>
      <c r="HH4" s="147"/>
      <c r="HI4" s="147"/>
      <c r="HJ4" s="147"/>
      <c r="HK4" s="147"/>
      <c r="HL4" s="147"/>
      <c r="HM4" s="147"/>
      <c r="HN4" s="147"/>
      <c r="HO4" s="147"/>
      <c r="HP4" s="147"/>
      <c r="HQ4" s="147"/>
      <c r="HR4" s="147"/>
      <c r="HS4" s="147"/>
      <c r="HT4" s="147"/>
      <c r="HU4" s="147"/>
      <c r="HV4" s="147"/>
      <c r="HW4" s="147"/>
      <c r="HX4" s="147"/>
      <c r="HY4" s="147"/>
      <c r="HZ4" s="147"/>
      <c r="IA4" s="147"/>
      <c r="IB4" s="147"/>
      <c r="IC4" s="147"/>
      <c r="ID4" s="147"/>
      <c r="IE4" s="147"/>
      <c r="IF4" s="147"/>
      <c r="IG4" s="147"/>
      <c r="IH4" s="147"/>
      <c r="II4" s="147"/>
      <c r="IJ4" s="147"/>
      <c r="IK4" s="147"/>
      <c r="IL4" s="147"/>
      <c r="IM4" s="147"/>
      <c r="IN4" s="147"/>
      <c r="IO4" s="147"/>
      <c r="IP4" s="147"/>
      <c r="IQ4" s="147"/>
      <c r="IR4" s="147"/>
      <c r="IS4" s="147"/>
      <c r="IT4" s="147"/>
      <c r="IU4" s="147"/>
      <c r="IV4" s="147"/>
      <c r="IW4" s="147"/>
      <c r="IX4" s="147"/>
      <c r="IY4" s="147"/>
    </row>
    <row r="5" spans="1:259" s="1820" customFormat="1" ht="14.25" customHeight="1">
      <c r="A5" s="1057"/>
      <c r="B5" s="1062"/>
      <c r="C5" s="1057"/>
      <c r="D5" s="1407"/>
      <c r="E5" s="434"/>
      <c r="F5" s="434"/>
      <c r="G5" s="434"/>
      <c r="H5" s="434"/>
      <c r="I5" s="434"/>
      <c r="J5" s="434"/>
      <c r="K5" s="434"/>
      <c r="L5" s="434"/>
      <c r="M5" s="434"/>
      <c r="N5" s="434"/>
      <c r="O5" s="434"/>
      <c r="P5" s="165"/>
      <c r="Q5" s="425"/>
      <c r="R5" s="425"/>
      <c r="S5" s="425"/>
      <c r="T5" s="146"/>
      <c r="U5" s="425"/>
      <c r="V5" s="145"/>
      <c r="W5" s="145"/>
      <c r="X5" s="145"/>
      <c r="Y5" s="145"/>
    </row>
    <row r="6" spans="1:259" s="1820" customFormat="1" ht="25.5" customHeight="1">
      <c r="A6" s="1057"/>
      <c r="B6" s="1062"/>
      <c r="C6" s="1057"/>
      <c r="D6" s="1407"/>
      <c r="E6" s="2005" t="s">
        <v>1081</v>
      </c>
      <c r="F6" s="2005"/>
      <c r="G6" s="2005"/>
      <c r="H6" s="2005"/>
      <c r="I6" s="2005"/>
      <c r="J6" s="2005"/>
      <c r="K6" s="2005"/>
      <c r="L6" s="2005"/>
      <c r="M6" s="2005"/>
      <c r="N6" s="2005"/>
      <c r="O6" s="2005"/>
      <c r="P6" s="165"/>
      <c r="Q6" s="425"/>
      <c r="R6" s="425"/>
      <c r="S6" s="425"/>
      <c r="T6" s="146"/>
      <c r="U6" s="425"/>
      <c r="V6" s="145"/>
      <c r="W6" s="145"/>
      <c r="X6" s="145"/>
      <c r="Y6" s="145"/>
    </row>
    <row r="7" spans="1:259" s="1820" customFormat="1" ht="14.25" customHeight="1">
      <c r="A7" s="1057"/>
      <c r="B7" s="1062"/>
      <c r="C7" s="1057"/>
      <c r="D7" s="1407"/>
      <c r="E7" s="434"/>
      <c r="F7" s="434"/>
      <c r="G7" s="88"/>
      <c r="H7" s="88"/>
      <c r="I7" s="88"/>
      <c r="J7" s="88"/>
      <c r="K7" s="88"/>
      <c r="L7" s="88"/>
      <c r="M7" s="88"/>
      <c r="N7" s="88"/>
      <c r="O7" s="88"/>
      <c r="P7" s="425"/>
      <c r="Q7" s="425"/>
      <c r="R7" s="425"/>
      <c r="S7" s="425"/>
      <c r="T7" s="146"/>
      <c r="U7" s="425"/>
      <c r="V7" s="145"/>
      <c r="W7" s="145"/>
      <c r="X7" s="145"/>
      <c r="Y7" s="145"/>
    </row>
    <row r="8" spans="1:259" s="1952" customFormat="1" ht="42.75" customHeight="1">
      <c r="A8" s="1381"/>
      <c r="B8" s="1390"/>
      <c r="C8" s="1381"/>
      <c r="D8" s="1407"/>
      <c r="E8" s="1468" t="s">
        <v>269</v>
      </c>
      <c r="F8" s="1468"/>
      <c r="G8" s="1469" t="s">
        <v>273</v>
      </c>
      <c r="H8" s="1469" t="s">
        <v>1082</v>
      </c>
      <c r="I8" s="1469" t="s">
        <v>277</v>
      </c>
      <c r="J8" s="2324"/>
      <c r="K8" s="2325"/>
      <c r="L8" s="2326"/>
      <c r="M8" s="1469" t="s">
        <v>1083</v>
      </c>
      <c r="N8" s="1469" t="s">
        <v>1084</v>
      </c>
      <c r="O8" s="1469" t="s">
        <v>1085</v>
      </c>
      <c r="P8" s="1461"/>
      <c r="Q8" s="1461"/>
      <c r="R8" s="1461"/>
      <c r="S8" s="1461"/>
      <c r="T8" s="1462"/>
      <c r="U8" s="1461"/>
      <c r="V8" s="1463"/>
      <c r="W8" s="1463"/>
      <c r="X8" s="1463"/>
      <c r="Y8" s="1463"/>
    </row>
    <row r="9" spans="1:259" s="1820" customFormat="1" ht="47.25" customHeight="1">
      <c r="A9" s="1057"/>
      <c r="B9" s="1062"/>
      <c r="C9" s="1057"/>
      <c r="D9" s="1407"/>
      <c r="E9" s="2132" t="s">
        <v>268</v>
      </c>
      <c r="F9" s="2313" t="s">
        <v>73</v>
      </c>
      <c r="G9" s="2313" t="s">
        <v>272</v>
      </c>
      <c r="H9" s="2313" t="s">
        <v>1086</v>
      </c>
      <c r="I9" s="2313"/>
      <c r="J9" s="2313" t="s">
        <v>1087</v>
      </c>
      <c r="K9" s="2313"/>
      <c r="L9" s="2313"/>
      <c r="M9" s="2313" t="s">
        <v>1088</v>
      </c>
      <c r="N9" s="2313" t="s">
        <v>1089</v>
      </c>
      <c r="O9" s="2313"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водоотведения в случае, если региональный государственный контроль (надзор) в области регулирования тарифов в сфере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 (раскрывается исполнительным органом субъекта Российской Федерации в области государственного регулирования тарифов)</v>
      </c>
      <c r="P9" s="425"/>
      <c r="Q9" s="425"/>
      <c r="R9" s="425"/>
      <c r="S9" s="425"/>
      <c r="T9" s="146"/>
      <c r="U9" s="425"/>
      <c r="V9" s="145"/>
      <c r="W9" s="145"/>
      <c r="X9" s="145"/>
      <c r="Y9" s="145"/>
    </row>
    <row r="10" spans="1:259" s="1820" customFormat="1" ht="63.75" customHeight="1">
      <c r="A10" s="1057"/>
      <c r="B10" s="1062"/>
      <c r="C10" s="1057"/>
      <c r="D10" s="1407"/>
      <c r="E10" s="2019"/>
      <c r="F10" s="2323"/>
      <c r="G10" s="2323"/>
      <c r="H10" s="93" t="s">
        <v>1090</v>
      </c>
      <c r="I10" s="93" t="s">
        <v>276</v>
      </c>
      <c r="J10" s="2312"/>
      <c r="K10" s="2312"/>
      <c r="L10" s="2323"/>
      <c r="M10" s="2323"/>
      <c r="N10" s="2323"/>
      <c r="O10" s="2323"/>
      <c r="P10" s="425"/>
      <c r="Q10" s="425"/>
      <c r="R10" s="425"/>
      <c r="S10" s="425"/>
      <c r="T10" s="146"/>
      <c r="U10" s="425"/>
      <c r="V10" s="145"/>
      <c r="W10" s="145"/>
      <c r="X10" s="145"/>
      <c r="Y10" s="145"/>
    </row>
    <row r="11" spans="1:259" s="1822" customFormat="1" ht="22.5" customHeight="1">
      <c r="A11" s="2004">
        <v>26379339</v>
      </c>
      <c r="B11" s="1062">
        <v>1</v>
      </c>
      <c r="C11" s="1062"/>
      <c r="D11" s="719"/>
      <c r="E11" s="2132"/>
      <c r="F11" s="2132">
        <v>1</v>
      </c>
      <c r="G11" s="2321" t="str">
        <f>IF(region_name="","",region_name)</f>
        <v>Пензенская область</v>
      </c>
      <c r="H11" s="2322"/>
      <c r="I11" s="2327"/>
      <c r="J11" s="400"/>
      <c r="K11" s="1396">
        <v>1</v>
      </c>
      <c r="L11" s="1470"/>
      <c r="M11" s="1457"/>
      <c r="N11" s="1457"/>
      <c r="O11" s="1456"/>
      <c r="P11" s="1446" t="e">
        <f ca="1">MERGEVALUE(G11)</f>
        <v>#NAME?</v>
      </c>
      <c r="Q11" s="436"/>
      <c r="R11" s="436"/>
      <c r="S11" s="425" t="str">
        <f t="array" ref="S11">IF(ISERROR(MATCH(MID(T11,1,250),MID(note_ter,1,250),0)),"n","y")</f>
        <v>n</v>
      </c>
      <c r="T11" s="436"/>
      <c r="U11" s="425"/>
      <c r="V11" s="1062"/>
      <c r="W11" s="1062"/>
      <c r="X11" s="352"/>
      <c r="Y11" s="1062"/>
      <c r="Z11" s="1062"/>
      <c r="AA11" s="1062"/>
      <c r="AB11" s="354"/>
      <c r="AC11" s="354"/>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1"/>
      <c r="BW11" s="351"/>
      <c r="BX11" s="351"/>
      <c r="BY11" s="354"/>
      <c r="BZ11" s="354"/>
      <c r="CA11" s="354"/>
      <c r="CB11" s="354"/>
      <c r="CC11" s="354"/>
      <c r="CD11" s="354"/>
      <c r="CE11" s="354"/>
      <c r="CF11" s="354"/>
      <c r="CG11" s="354"/>
      <c r="CH11" s="354"/>
    </row>
    <row r="12" spans="1:259" s="1822" customFormat="1" ht="22.5" customHeight="1">
      <c r="A12" s="2004"/>
      <c r="B12" s="1062"/>
      <c r="C12" s="1062"/>
      <c r="D12" s="719"/>
      <c r="E12" s="2132"/>
      <c r="F12" s="2132"/>
      <c r="G12" s="2321"/>
      <c r="H12" s="2322"/>
      <c r="I12" s="2328"/>
      <c r="J12" s="1455"/>
      <c r="K12" s="1412"/>
      <c r="L12" s="1412" t="s">
        <v>1080</v>
      </c>
      <c r="M12" s="1458"/>
      <c r="N12" s="1458"/>
      <c r="O12" s="1459"/>
      <c r="P12" s="1446"/>
      <c r="Q12" s="436"/>
      <c r="R12" s="436"/>
      <c r="S12" s="425"/>
      <c r="T12" s="436"/>
      <c r="U12" s="425"/>
      <c r="V12" s="1062"/>
      <c r="W12" s="1062"/>
      <c r="X12" s="352"/>
      <c r="Y12" s="1062"/>
      <c r="Z12" s="1062"/>
      <c r="AA12" s="1062"/>
      <c r="AB12" s="354"/>
      <c r="AC12" s="354"/>
      <c r="AD12" s="351"/>
      <c r="AE12" s="351"/>
      <c r="AF12" s="351"/>
      <c r="AG12" s="351"/>
      <c r="AH12" s="351"/>
      <c r="AI12" s="351"/>
      <c r="AJ12" s="351"/>
      <c r="AK12" s="351"/>
      <c r="AL12" s="351"/>
      <c r="AM12" s="351"/>
      <c r="AN12" s="351"/>
      <c r="AO12" s="351"/>
      <c r="AP12" s="351"/>
      <c r="AQ12" s="351"/>
      <c r="AR12" s="351"/>
      <c r="AS12" s="351"/>
      <c r="AT12" s="351"/>
      <c r="AU12" s="351"/>
      <c r="AV12" s="351"/>
      <c r="AW12" s="351"/>
      <c r="AX12" s="351"/>
      <c r="AY12" s="351"/>
      <c r="AZ12" s="351"/>
      <c r="BA12" s="351"/>
      <c r="BB12" s="351"/>
      <c r="BC12" s="351"/>
      <c r="BD12" s="351"/>
      <c r="BE12" s="351"/>
      <c r="BF12" s="351"/>
      <c r="BG12" s="351"/>
      <c r="BH12" s="351"/>
      <c r="BI12" s="351"/>
      <c r="BJ12" s="351"/>
      <c r="BK12" s="351"/>
      <c r="BL12" s="351"/>
      <c r="BM12" s="351"/>
      <c r="BN12" s="351"/>
      <c r="BO12" s="351"/>
      <c r="BP12" s="351"/>
      <c r="BQ12" s="351"/>
      <c r="BR12" s="351"/>
      <c r="BS12" s="351"/>
      <c r="BT12" s="351"/>
      <c r="BU12" s="351"/>
      <c r="BV12" s="351"/>
      <c r="BW12" s="351"/>
      <c r="BX12" s="351"/>
      <c r="BY12" s="354"/>
      <c r="BZ12" s="354"/>
      <c r="CA12" s="354"/>
      <c r="CB12" s="354"/>
      <c r="CC12" s="354"/>
      <c r="CD12" s="354"/>
      <c r="CE12" s="354"/>
      <c r="CF12" s="354"/>
      <c r="CG12" s="354"/>
      <c r="CH12" s="354"/>
    </row>
    <row r="13" spans="1:259" s="1822" customFormat="1" ht="22.5" customHeight="1">
      <c r="A13" s="2004"/>
      <c r="B13" s="1062"/>
      <c r="C13" s="345"/>
      <c r="D13" s="719"/>
      <c r="E13" s="1452"/>
      <c r="F13" s="1455"/>
      <c r="G13" s="1412" t="s">
        <v>1074</v>
      </c>
      <c r="H13" s="1453"/>
      <c r="I13" s="1453"/>
      <c r="J13" s="108"/>
      <c r="K13" s="108"/>
      <c r="L13" s="108"/>
      <c r="M13" s="108"/>
      <c r="N13" s="108"/>
      <c r="O13" s="1454"/>
      <c r="P13" s="1447"/>
      <c r="Q13" s="436"/>
      <c r="R13" s="436"/>
      <c r="S13" s="436"/>
      <c r="T13" s="425"/>
      <c r="U13" s="436"/>
      <c r="V13" s="1062"/>
      <c r="W13" s="1062"/>
      <c r="X13" s="352"/>
      <c r="Y13" s="1062"/>
      <c r="Z13" s="1062"/>
      <c r="AA13" s="1062"/>
      <c r="AB13" s="354"/>
      <c r="AC13" s="354"/>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4"/>
      <c r="BZ13" s="354"/>
      <c r="CA13" s="354"/>
      <c r="CB13" s="354"/>
      <c r="CC13" s="354"/>
      <c r="CD13" s="354"/>
      <c r="CE13" s="354"/>
      <c r="CF13" s="354"/>
      <c r="CG13" s="354"/>
      <c r="CH13" s="354"/>
    </row>
    <row r="14" spans="1:259" s="1820" customFormat="1" ht="21" customHeight="1">
      <c r="A14" s="1057"/>
      <c r="B14" s="1062"/>
      <c r="C14" s="1057"/>
      <c r="D14" s="381"/>
      <c r="E14" s="101"/>
      <c r="F14" s="101"/>
      <c r="G14" s="101"/>
      <c r="H14" s="101"/>
      <c r="I14" s="101"/>
      <c r="J14" s="101"/>
      <c r="K14" s="101"/>
      <c r="L14" s="101"/>
      <c r="M14" s="101"/>
      <c r="N14" s="434"/>
      <c r="O14" s="434"/>
      <c r="P14" s="425"/>
      <c r="Q14" s="425"/>
      <c r="R14" s="425"/>
      <c r="S14" s="425"/>
      <c r="T14" s="146"/>
      <c r="U14" s="425"/>
      <c r="V14" s="145"/>
      <c r="W14" s="145"/>
      <c r="X14" s="145"/>
      <c r="Y14" s="145"/>
    </row>
    <row r="15" spans="1:259" s="1820" customFormat="1" ht="14.25" customHeight="1">
      <c r="A15" s="1057"/>
      <c r="B15" s="1062"/>
      <c r="C15" s="1057"/>
      <c r="D15" s="381"/>
      <c r="E15" s="1057"/>
      <c r="F15" s="1057"/>
      <c r="G15" s="1057"/>
      <c r="H15" s="1057"/>
      <c r="I15" s="1057"/>
      <c r="J15" s="1057"/>
      <c r="K15" s="1057"/>
      <c r="L15" s="1057"/>
      <c r="M15" s="1057"/>
      <c r="N15" s="1057"/>
      <c r="O15" s="1057"/>
      <c r="P15" s="425"/>
      <c r="Q15" s="425"/>
      <c r="R15" s="425"/>
      <c r="S15" s="425"/>
      <c r="T15" s="146"/>
      <c r="U15" s="425"/>
      <c r="V15" s="145"/>
      <c r="W15" s="145"/>
      <c r="X15" s="145"/>
      <c r="Y15" s="145"/>
    </row>
    <row r="16" spans="1:259" s="1820" customFormat="1" ht="0.75" customHeight="1">
      <c r="A16" s="1057"/>
      <c r="B16" s="1062"/>
      <c r="C16" s="1057"/>
      <c r="D16" s="381"/>
      <c r="E16" s="1057"/>
      <c r="F16" s="1057"/>
      <c r="G16" s="1057"/>
      <c r="H16" s="1057"/>
      <c r="I16" s="1057"/>
      <c r="J16" s="1057"/>
      <c r="K16" s="1057"/>
      <c r="L16" s="1057"/>
      <c r="M16" s="1057"/>
      <c r="N16" s="1057"/>
      <c r="O16" s="1057"/>
      <c r="P16" s="425"/>
      <c r="Q16" s="425"/>
      <c r="R16" s="425"/>
      <c r="S16" s="425"/>
      <c r="T16" s="146"/>
      <c r="U16" s="425"/>
      <c r="V16" s="145"/>
      <c r="W16" s="145"/>
      <c r="X16" s="145"/>
      <c r="Y16" s="145"/>
    </row>
  </sheetData>
  <sheetProtection formatColumns="0" formatRows="0" insertRows="0" deleteColumns="0" deleteRows="0" sort="0" autoFilter="0"/>
  <mergeCells count="21">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 ref="E2:E3"/>
    <mergeCell ref="F2:F3"/>
    <mergeCell ref="G2:G3"/>
    <mergeCell ref="H2:H3"/>
    <mergeCell ref="I2:I3"/>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L12"/>
  <sheetViews>
    <sheetView showGridLines="0" topLeftCell="C6" zoomScale="90" workbookViewId="0"/>
  </sheetViews>
  <sheetFormatPr defaultColWidth="9.140625" defaultRowHeight="14.25" customHeight="1"/>
  <cols>
    <col min="1" max="2" width="9.140625" style="1948" hidden="1"/>
    <col min="3" max="3" width="3.7109375" style="1949" customWidth="1"/>
    <col min="4" max="4" width="6.28515625" style="1948" customWidth="1"/>
    <col min="5" max="5" width="94.85546875" style="1948" customWidth="1"/>
    <col min="6" max="12" width="9.140625" style="1948"/>
  </cols>
  <sheetData>
    <row r="1" spans="3:12" ht="14.25" hidden="1" customHeight="1">
      <c r="L1" s="182"/>
    </row>
    <row r="2" spans="3:12" ht="14.25" hidden="1" customHeight="1"/>
    <row r="3" spans="3:12" ht="14.25" hidden="1" customHeight="1"/>
    <row r="4" spans="3:12" ht="14.25" hidden="1" customHeight="1"/>
    <row r="5" spans="3:12" ht="14.25" hidden="1" customHeight="1"/>
    <row r="6" spans="3:12" ht="3" customHeight="1">
      <c r="C6" s="25"/>
      <c r="D6" s="6"/>
      <c r="E6" s="6"/>
    </row>
    <row r="7" spans="3:12" ht="22.5" customHeight="1">
      <c r="C7" s="25"/>
      <c r="D7" s="2005" t="s">
        <v>1091</v>
      </c>
      <c r="E7" s="2005"/>
      <c r="F7" s="185"/>
    </row>
    <row r="8" spans="3:12" ht="3" customHeight="1">
      <c r="C8" s="25"/>
      <c r="D8" s="6"/>
      <c r="E8" s="6"/>
    </row>
    <row r="9" spans="3:12" ht="15.75" customHeight="1">
      <c r="C9" s="25"/>
      <c r="D9" s="36" t="s">
        <v>73</v>
      </c>
      <c r="E9" s="39" t="s">
        <v>255</v>
      </c>
    </row>
    <row r="10" spans="3:12" ht="12" customHeight="1">
      <c r="C10" s="25"/>
      <c r="D10" s="21" t="s">
        <v>91</v>
      </c>
      <c r="E10" s="21" t="s">
        <v>92</v>
      </c>
    </row>
    <row r="11" spans="3:12" ht="15" hidden="1" customHeight="1">
      <c r="C11" s="25"/>
      <c r="D11" s="43">
        <v>0</v>
      </c>
      <c r="E11" s="73"/>
    </row>
    <row r="12" spans="3:12" ht="14.25" customHeight="1">
      <c r="C12" s="25"/>
      <c r="D12" s="40"/>
      <c r="E12" s="38" t="s">
        <v>1051</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E4"/>
  <sheetViews>
    <sheetView showGridLines="0" zoomScale="90" workbookViewId="0"/>
  </sheetViews>
  <sheetFormatPr defaultColWidth="9.140625" defaultRowHeight="11.25" customHeight="1"/>
  <cols>
    <col min="1" max="1" width="1.7109375" style="1953" customWidth="1"/>
    <col min="2" max="2" width="34.5703125" style="1953" customWidth="1"/>
    <col min="3" max="3" width="85.5703125" style="1953" customWidth="1"/>
    <col min="4" max="4" width="17.7109375" style="1953" customWidth="1"/>
    <col min="5" max="5" width="9.140625" style="1953"/>
  </cols>
  <sheetData>
    <row r="1" spans="2:5" ht="3" customHeight="1"/>
    <row r="2" spans="2:5" ht="22.5" customHeight="1">
      <c r="B2" s="2329" t="s">
        <v>1092</v>
      </c>
      <c r="C2" s="2329"/>
      <c r="D2" s="2329"/>
      <c r="E2" s="186"/>
    </row>
    <row r="3" spans="2:5" ht="3" customHeight="1"/>
    <row r="4" spans="2:5" ht="21.75" customHeight="1">
      <c r="B4" s="316" t="s">
        <v>1093</v>
      </c>
      <c r="C4" s="316" t="s">
        <v>1094</v>
      </c>
      <c r="D4" s="316" t="s">
        <v>1095</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07"/>
  <sheetViews>
    <sheetView showGridLines="0" zoomScale="85" workbookViewId="0"/>
  </sheetViews>
  <sheetFormatPr defaultRowHeight="17.100000000000001" customHeight="1"/>
  <cols>
    <col min="1" max="1" width="26.5703125" style="1953" customWidth="1"/>
    <col min="2" max="2" width="10" style="1953" customWidth="1"/>
    <col min="3" max="3" width="9.140625" style="1953"/>
    <col min="4" max="4" width="11.140625" style="1953" customWidth="1"/>
    <col min="5" max="5" width="16.5703125" style="1953" customWidth="1"/>
    <col min="6" max="6" width="16.28515625" style="1953" customWidth="1"/>
    <col min="7" max="7" width="19.140625" style="1953" customWidth="1"/>
    <col min="8" max="11" width="10" style="1953" customWidth="1"/>
    <col min="12" max="12" width="12.7109375" style="1953" customWidth="1"/>
    <col min="13" max="13" width="61.28515625" style="1953" customWidth="1"/>
    <col min="14" max="14" width="10" style="1953" customWidth="1"/>
    <col min="15" max="17" width="23.7109375" style="1953" customWidth="1"/>
    <col min="18" max="18" width="11.7109375" style="1953" customWidth="1"/>
    <col min="19" max="19" width="8.5703125" style="1953" customWidth="1"/>
    <col min="20" max="20" width="11.7109375" style="1953" customWidth="1"/>
    <col min="21" max="21" width="8.5703125" style="1953" customWidth="1"/>
    <col min="22" max="22" width="4.7109375" style="1953" customWidth="1"/>
    <col min="23" max="23" width="115.7109375" style="1953" customWidth="1"/>
    <col min="24" max="24" width="115.28515625" style="1953" customWidth="1"/>
    <col min="25" max="27" width="9.140625" style="1953"/>
    <col min="28" max="28" width="115.7109375" style="1953" customWidth="1"/>
    <col min="29" max="29" width="9.140625" style="1953"/>
    <col min="30" max="90" width="115.7109375" style="1953" customWidth="1"/>
    <col min="91" max="184" width="9.140625" style="1953"/>
  </cols>
  <sheetData>
    <row r="2" spans="1:80" s="1954" customFormat="1" ht="17.25" customHeight="1">
      <c r="A2" s="1727" t="s">
        <v>1096</v>
      </c>
    </row>
    <row r="4" spans="1:80" s="1948" customFormat="1" ht="15" customHeight="1">
      <c r="C4" s="1728"/>
      <c r="D4" s="43"/>
      <c r="E4" s="307"/>
    </row>
    <row r="6" spans="1:80" s="1954" customFormat="1" ht="17.25" customHeight="1">
      <c r="A6" s="1727" t="s">
        <v>1097</v>
      </c>
    </row>
    <row r="8" spans="1:80" s="1948" customFormat="1" ht="17.25" customHeight="1">
      <c r="C8" s="1729"/>
      <c r="D8" s="43"/>
      <c r="E8" s="44"/>
    </row>
    <row r="11" spans="1:80" s="1954" customFormat="1" ht="17.25" customHeight="1">
      <c r="A11" s="1727" t="s">
        <v>1098</v>
      </c>
    </row>
    <row r="13" spans="1:80" s="1955" customFormat="1" ht="15" customHeight="1">
      <c r="A13" s="2124">
        <v>1</v>
      </c>
      <c r="B13" s="1062"/>
      <c r="C13" s="719" t="s">
        <v>1004</v>
      </c>
      <c r="D13" s="1730"/>
      <c r="E13" s="1717">
        <f>A13</f>
        <v>1</v>
      </c>
      <c r="F13" s="722"/>
      <c r="G13" s="464" t="str">
        <f>"Территория "&amp;E13</f>
        <v>Территория 1</v>
      </c>
      <c r="H13" s="710"/>
      <c r="I13" s="710"/>
      <c r="J13" s="707"/>
      <c r="K13" s="1538"/>
      <c r="L13" s="1538"/>
      <c r="M13" s="1538"/>
      <c r="N13" s="146"/>
      <c r="O13" s="1538"/>
      <c r="P13" s="145"/>
      <c r="Q13" s="145"/>
      <c r="R13" s="145"/>
      <c r="S13" s="145"/>
    </row>
    <row r="14" spans="1:80" s="1822" customFormat="1" ht="15" customHeight="1">
      <c r="A14" s="2124"/>
      <c r="B14" s="1062">
        <v>1</v>
      </c>
      <c r="C14" s="1062"/>
      <c r="D14" s="718"/>
      <c r="E14" s="1725" t="str">
        <f>A13&amp;"."&amp;B14</f>
        <v>1.1</v>
      </c>
      <c r="F14" s="721">
        <f>$F$20</f>
        <v>0</v>
      </c>
      <c r="G14" s="711"/>
      <c r="H14" s="711"/>
      <c r="I14" s="709"/>
      <c r="J14" s="1538"/>
      <c r="K14" s="1550"/>
      <c r="L14" s="1550"/>
      <c r="M14" s="1538" t="str">
        <f t="array" ref="M14">IF(ISERROR(MATCH(MID(N14,1,250),MID(note_ter,1,250),0)),"n","y")</f>
        <v>n</v>
      </c>
      <c r="N14" s="1550"/>
      <c r="O14" s="1538" t="str">
        <f>H14&amp;"("&amp;I14&amp;")"</f>
        <v>()</v>
      </c>
      <c r="P14" s="1062"/>
      <c r="Q14" s="1062"/>
      <c r="R14" s="352"/>
      <c r="S14" s="1062"/>
      <c r="T14" s="1062"/>
      <c r="U14" s="1062"/>
      <c r="V14" s="354"/>
      <c r="W14" s="354"/>
      <c r="X14" s="351"/>
      <c r="Y14" s="351"/>
      <c r="Z14" s="351"/>
      <c r="AA14" s="351"/>
      <c r="AB14" s="351"/>
      <c r="AC14" s="351"/>
      <c r="AD14" s="351"/>
      <c r="AE14" s="351"/>
      <c r="AF14" s="351"/>
      <c r="AG14" s="351"/>
      <c r="AH14" s="351"/>
      <c r="AI14" s="351"/>
      <c r="AJ14" s="351"/>
      <c r="AK14" s="351"/>
      <c r="AL14" s="351"/>
      <c r="AM14" s="351"/>
      <c r="AN14" s="351"/>
      <c r="AO14" s="351"/>
      <c r="AP14" s="351"/>
      <c r="AQ14" s="351"/>
      <c r="AR14" s="351"/>
      <c r="AS14" s="351"/>
      <c r="AT14" s="351"/>
      <c r="AU14" s="351"/>
      <c r="AV14" s="351"/>
      <c r="AW14" s="351"/>
      <c r="AX14" s="351"/>
      <c r="AY14" s="351"/>
      <c r="AZ14" s="351"/>
      <c r="BA14" s="351"/>
      <c r="BB14" s="351"/>
      <c r="BC14" s="351"/>
      <c r="BD14" s="351"/>
      <c r="BE14" s="351"/>
      <c r="BF14" s="351"/>
      <c r="BG14" s="351"/>
      <c r="BH14" s="351"/>
      <c r="BI14" s="351"/>
      <c r="BJ14" s="351"/>
      <c r="BK14" s="351"/>
      <c r="BL14" s="351"/>
      <c r="BM14" s="351"/>
      <c r="BN14" s="351"/>
      <c r="BO14" s="351"/>
      <c r="BP14" s="351"/>
      <c r="BQ14" s="351"/>
      <c r="BR14" s="351"/>
      <c r="BS14" s="354"/>
      <c r="BT14" s="354"/>
      <c r="BU14" s="354"/>
      <c r="BV14" s="354"/>
      <c r="BW14" s="354"/>
      <c r="BX14" s="354"/>
      <c r="BY14" s="354"/>
      <c r="BZ14" s="354"/>
      <c r="CA14" s="354"/>
      <c r="CB14" s="354"/>
    </row>
    <row r="15" spans="1:80" s="1822" customFormat="1" ht="15" customHeight="1">
      <c r="A15" s="2124"/>
      <c r="B15" s="1062"/>
      <c r="C15" s="345"/>
      <c r="D15" s="719"/>
      <c r="E15" s="353"/>
      <c r="F15" s="98"/>
      <c r="G15" s="348" t="s">
        <v>84</v>
      </c>
      <c r="H15" s="108"/>
      <c r="I15" s="356"/>
      <c r="J15" s="1550"/>
      <c r="K15" s="1550"/>
      <c r="L15" s="1550"/>
      <c r="M15" s="1550"/>
      <c r="N15" s="1538"/>
      <c r="O15" s="1550"/>
      <c r="P15" s="1062"/>
      <c r="Q15" s="1062"/>
      <c r="R15" s="352"/>
      <c r="S15" s="1062"/>
      <c r="T15" s="1062"/>
      <c r="U15" s="1062"/>
      <c r="V15" s="354"/>
      <c r="W15" s="354"/>
      <c r="X15" s="351"/>
      <c r="Y15" s="351"/>
      <c r="Z15" s="351"/>
      <c r="AA15" s="351"/>
      <c r="AB15" s="351"/>
      <c r="AC15" s="351"/>
      <c r="AD15" s="351"/>
      <c r="AE15" s="351"/>
      <c r="AF15" s="351"/>
      <c r="AG15" s="351"/>
      <c r="AH15" s="351"/>
      <c r="AI15" s="351"/>
      <c r="AJ15" s="351"/>
      <c r="AK15" s="351"/>
      <c r="AL15" s="351"/>
      <c r="AM15" s="351"/>
      <c r="AN15" s="351"/>
      <c r="AO15" s="351"/>
      <c r="AP15" s="351"/>
      <c r="AQ15" s="351"/>
      <c r="AR15" s="351"/>
      <c r="AS15" s="351"/>
      <c r="AT15" s="351"/>
      <c r="AU15" s="351"/>
      <c r="AV15" s="351"/>
      <c r="AW15" s="351"/>
      <c r="AX15" s="351"/>
      <c r="AY15" s="351"/>
      <c r="AZ15" s="351"/>
      <c r="BA15" s="351"/>
      <c r="BB15" s="351"/>
      <c r="BC15" s="351"/>
      <c r="BD15" s="351"/>
      <c r="BE15" s="351"/>
      <c r="BF15" s="351"/>
      <c r="BG15" s="351"/>
      <c r="BH15" s="351"/>
      <c r="BI15" s="351"/>
      <c r="BJ15" s="351"/>
      <c r="BK15" s="351"/>
      <c r="BL15" s="351"/>
      <c r="BM15" s="351"/>
      <c r="BN15" s="351"/>
      <c r="BO15" s="351"/>
      <c r="BP15" s="351"/>
      <c r="BQ15" s="351"/>
      <c r="BR15" s="351"/>
      <c r="BS15" s="354"/>
      <c r="BT15" s="354"/>
      <c r="BU15" s="354"/>
      <c r="BV15" s="354"/>
      <c r="BW15" s="354"/>
      <c r="BX15" s="354"/>
      <c r="BY15" s="354"/>
      <c r="BZ15" s="354"/>
      <c r="CA15" s="354"/>
      <c r="CB15" s="354"/>
    </row>
    <row r="17" spans="1:80" s="1954" customFormat="1" ht="17.25" customHeight="1">
      <c r="A17" s="1727" t="s">
        <v>1099</v>
      </c>
    </row>
    <row r="19" spans="1:80" s="1915" customFormat="1" ht="15" customHeight="1">
      <c r="A19" s="1788"/>
      <c r="B19" s="1284">
        <v>1</v>
      </c>
      <c r="C19" s="1284"/>
      <c r="D19" s="718" t="s">
        <v>1004</v>
      </c>
      <c r="E19" s="1787"/>
      <c r="F19" s="1789">
        <f>$F$20</f>
        <v>0</v>
      </c>
      <c r="G19" s="1792"/>
      <c r="H19" s="1792"/>
      <c r="I19" s="1790"/>
      <c r="J19" s="1538"/>
      <c r="K19" s="1550"/>
      <c r="L19" s="1550"/>
      <c r="M19" s="1538" t="str">
        <f t="array" ref="M19">IF(ISERROR(MATCH(MID(N19,1,250),MID(note_ter,1,250),0)),"n","y")</f>
        <v>n</v>
      </c>
      <c r="N19" s="1550"/>
      <c r="O19" s="1538" t="str">
        <f>H19&amp;"("&amp;I19&amp;")"</f>
        <v>()</v>
      </c>
      <c r="P19" s="1284"/>
      <c r="Q19" s="1284"/>
      <c r="R19" s="352"/>
      <c r="S19" s="1284"/>
      <c r="T19" s="1284"/>
      <c r="U19" s="1284"/>
      <c r="V19" s="751"/>
      <c r="W19" s="751"/>
      <c r="X19" s="547"/>
      <c r="Y19" s="547"/>
      <c r="Z19" s="547"/>
      <c r="AA19" s="547"/>
      <c r="AB19" s="547"/>
      <c r="AC19" s="547"/>
      <c r="AD19" s="547"/>
      <c r="AE19" s="547"/>
      <c r="AF19" s="547"/>
      <c r="AG19" s="547"/>
      <c r="AH19" s="547"/>
      <c r="AI19" s="547"/>
      <c r="AJ19" s="547"/>
      <c r="AK19" s="547"/>
      <c r="AL19" s="547"/>
      <c r="AM19" s="547"/>
      <c r="AN19" s="547"/>
      <c r="AO19" s="547"/>
      <c r="AP19" s="547"/>
      <c r="AQ19" s="547"/>
      <c r="AR19" s="547"/>
      <c r="AS19" s="547"/>
      <c r="AT19" s="547"/>
      <c r="AU19" s="547"/>
      <c r="AV19" s="547"/>
      <c r="AW19" s="547"/>
      <c r="AX19" s="547"/>
      <c r="AY19" s="547"/>
      <c r="AZ19" s="547"/>
      <c r="BA19" s="547"/>
      <c r="BB19" s="547"/>
      <c r="BC19" s="547"/>
      <c r="BD19" s="547"/>
      <c r="BE19" s="547"/>
      <c r="BF19" s="547"/>
      <c r="BG19" s="547"/>
      <c r="BH19" s="547"/>
      <c r="BI19" s="547"/>
      <c r="BJ19" s="547"/>
      <c r="BK19" s="547"/>
      <c r="BL19" s="547"/>
      <c r="BM19" s="547"/>
      <c r="BN19" s="547"/>
      <c r="BO19" s="547"/>
      <c r="BP19" s="547"/>
      <c r="BQ19" s="547"/>
      <c r="BR19" s="547"/>
      <c r="BS19" s="751"/>
      <c r="BT19" s="751"/>
      <c r="BU19" s="751"/>
      <c r="BV19" s="751"/>
      <c r="BW19" s="751"/>
      <c r="BX19" s="751"/>
      <c r="BY19" s="751"/>
      <c r="BZ19" s="751"/>
      <c r="CA19" s="751"/>
      <c r="CB19" s="751"/>
    </row>
    <row r="21" spans="1:80" s="1822" customFormat="1" ht="15" customHeight="1">
      <c r="A21" s="1727" t="s">
        <v>1100</v>
      </c>
      <c r="B21" s="1727"/>
      <c r="C21" s="1727"/>
      <c r="D21" s="1727"/>
      <c r="E21" s="1727"/>
      <c r="F21" s="1727"/>
      <c r="G21" s="1727"/>
      <c r="H21" s="1727"/>
      <c r="I21" s="1727"/>
      <c r="J21" s="1727"/>
      <c r="K21" s="1727"/>
      <c r="L21" s="1727"/>
      <c r="M21" s="1727"/>
      <c r="N21" s="1727"/>
      <c r="O21" s="1727"/>
      <c r="P21" s="1727"/>
      <c r="Q21" s="1727"/>
      <c r="R21" s="1727"/>
      <c r="S21" s="1727"/>
      <c r="T21" s="1727"/>
      <c r="U21" s="105"/>
      <c r="V21" s="1727"/>
      <c r="W21" s="1727"/>
    </row>
    <row r="22" spans="1:80" s="1822" customFormat="1" ht="15" customHeight="1">
      <c r="U22" s="106"/>
    </row>
    <row r="23" spans="1:80" s="1956" customFormat="1" ht="15" customHeight="1">
      <c r="A23" s="355"/>
      <c r="B23" s="355"/>
      <c r="C23" s="1640" t="s">
        <v>1004</v>
      </c>
      <c r="D23" s="2030" t="s">
        <v>91</v>
      </c>
      <c r="E23" s="2364"/>
      <c r="F23" s="2029" t="s">
        <v>48</v>
      </c>
      <c r="G23" s="2365"/>
      <c r="H23" s="2019">
        <v>1</v>
      </c>
      <c r="I23" s="2367" t="str">
        <f>IF(U23="","",INDEX(TERRITORY_MR_LIST,MATCH(U23,TERRITORY_LIST_ID,0)))</f>
        <v/>
      </c>
      <c r="J23" s="2029" t="s">
        <v>48</v>
      </c>
      <c r="K23" s="750"/>
      <c r="L23" s="1694" t="s">
        <v>91</v>
      </c>
      <c r="M23" s="524"/>
      <c r="N23" s="525"/>
      <c r="O23" s="525"/>
      <c r="P23" s="525"/>
      <c r="Q23" s="525"/>
      <c r="R23" s="525"/>
      <c r="S23" s="525"/>
      <c r="T23" s="525"/>
      <c r="U23" s="526"/>
      <c r="V23" s="525"/>
      <c r="W23" s="525"/>
      <c r="X23" s="517"/>
      <c r="Y23" s="517" t="s">
        <v>100</v>
      </c>
      <c r="Z23" s="517">
        <v>1705000</v>
      </c>
      <c r="AA23" s="517"/>
      <c r="AB23" s="517"/>
      <c r="AC23" s="517"/>
      <c r="AD23" s="517"/>
      <c r="AE23" s="517"/>
      <c r="AF23" s="517"/>
      <c r="AG23" s="517"/>
      <c r="AH23" s="517"/>
      <c r="AI23" s="517"/>
      <c r="AJ23" s="517"/>
      <c r="AK23" s="517"/>
      <c r="AL23" s="517"/>
    </row>
    <row r="24" spans="1:80" s="1956" customFormat="1" ht="15" customHeight="1">
      <c r="A24" s="355"/>
      <c r="B24" s="355"/>
      <c r="C24" s="97"/>
      <c r="D24" s="2030"/>
      <c r="E24" s="2364"/>
      <c r="F24" s="2029"/>
      <c r="G24" s="2366"/>
      <c r="H24" s="2019"/>
      <c r="I24" s="2368"/>
      <c r="J24" s="2029"/>
      <c r="K24" s="353"/>
      <c r="L24" s="98"/>
      <c r="M24" s="527" t="s">
        <v>101</v>
      </c>
      <c r="N24" s="525"/>
      <c r="O24" s="525"/>
      <c r="P24" s="525"/>
      <c r="Q24" s="525"/>
      <c r="R24" s="525"/>
      <c r="S24" s="525"/>
      <c r="T24" s="525"/>
      <c r="U24" s="526"/>
      <c r="V24" s="525"/>
      <c r="W24" s="525"/>
      <c r="X24" s="517"/>
      <c r="Y24" s="517"/>
      <c r="Z24" s="517"/>
      <c r="AA24" s="517"/>
      <c r="AB24" s="517"/>
      <c r="AC24" s="517"/>
      <c r="AD24" s="517"/>
      <c r="AE24" s="517"/>
      <c r="AF24" s="517"/>
      <c r="AG24" s="517"/>
      <c r="AH24" s="517"/>
      <c r="AI24" s="517"/>
      <c r="AJ24" s="517"/>
      <c r="AK24" s="517"/>
      <c r="AL24" s="517"/>
    </row>
    <row r="25" spans="1:80" s="1956" customFormat="1" ht="15" customHeight="1">
      <c r="A25" s="355"/>
      <c r="B25" s="355"/>
      <c r="C25" s="97"/>
      <c r="D25" s="2030"/>
      <c r="E25" s="2364"/>
      <c r="F25" s="2029"/>
      <c r="G25" s="353"/>
      <c r="H25" s="98"/>
      <c r="I25" s="504" t="s">
        <v>102</v>
      </c>
      <c r="J25" s="98"/>
      <c r="K25" s="98"/>
      <c r="L25" s="98"/>
      <c r="M25" s="528"/>
      <c r="N25" s="525"/>
      <c r="O25" s="525"/>
      <c r="P25" s="525"/>
      <c r="Q25" s="525"/>
      <c r="R25" s="525"/>
      <c r="S25" s="525"/>
      <c r="T25" s="525"/>
      <c r="U25" s="526"/>
      <c r="V25" s="525"/>
      <c r="W25" s="525"/>
      <c r="X25" s="517"/>
      <c r="Y25" s="517"/>
      <c r="Z25" s="517"/>
      <c r="AA25" s="517"/>
      <c r="AB25" s="517"/>
      <c r="AC25" s="517"/>
      <c r="AD25" s="517"/>
      <c r="AE25" s="517"/>
      <c r="AF25" s="517"/>
      <c r="AG25" s="517"/>
      <c r="AH25" s="517"/>
      <c r="AI25" s="517"/>
      <c r="AJ25" s="517"/>
      <c r="AK25" s="517"/>
      <c r="AL25" s="517"/>
    </row>
    <row r="26" spans="1:80" s="1822" customFormat="1" ht="15" customHeight="1">
      <c r="U26" s="106"/>
    </row>
    <row r="27" spans="1:80" s="1822" customFormat="1" ht="15" customHeight="1">
      <c r="A27" s="1727" t="s">
        <v>1101</v>
      </c>
      <c r="B27" s="1727"/>
      <c r="C27" s="1727"/>
      <c r="D27" s="1727"/>
      <c r="E27" s="1727"/>
      <c r="F27" s="1727"/>
      <c r="G27" s="1727"/>
      <c r="H27" s="1727"/>
      <c r="I27" s="1727"/>
      <c r="J27" s="1727"/>
      <c r="K27" s="1727"/>
      <c r="L27" s="1727"/>
      <c r="M27" s="1727"/>
      <c r="N27" s="1727"/>
      <c r="O27" s="1727"/>
      <c r="P27" s="1727"/>
      <c r="Q27" s="1727"/>
      <c r="R27" s="1727"/>
      <c r="S27" s="1727"/>
      <c r="T27" s="1727"/>
      <c r="U27" s="105"/>
      <c r="V27" s="1727"/>
      <c r="W27" s="1727"/>
    </row>
    <row r="28" spans="1:80" s="1822" customFormat="1" ht="15" customHeight="1">
      <c r="U28" s="106"/>
    </row>
    <row r="29" spans="1:80" s="1956" customFormat="1" ht="15" customHeight="1">
      <c r="A29" s="355"/>
      <c r="B29" s="355"/>
      <c r="C29" s="97"/>
      <c r="D29" s="1731"/>
      <c r="E29" s="1731"/>
      <c r="F29" s="1731"/>
      <c r="G29" s="2369" t="s">
        <v>1004</v>
      </c>
      <c r="H29" s="2000">
        <v>1</v>
      </c>
      <c r="I29" s="2370" t="str">
        <f>IF(U29="","",INDEX(TERRITORY_MR_LIST,MATCH(U29,TERRITORY_LIST_ID,0)))</f>
        <v/>
      </c>
      <c r="J29" s="2029" t="s">
        <v>48</v>
      </c>
      <c r="K29" s="750"/>
      <c r="L29" s="1694" t="s">
        <v>91</v>
      </c>
      <c r="M29" s="524"/>
      <c r="N29" s="525"/>
      <c r="O29" s="525"/>
      <c r="P29" s="525"/>
      <c r="Q29" s="525"/>
      <c r="R29" s="525"/>
      <c r="S29" s="525"/>
      <c r="T29" s="525"/>
      <c r="U29" s="526"/>
      <c r="V29" s="525"/>
      <c r="W29" s="525"/>
      <c r="X29" s="517"/>
      <c r="Y29" s="517" t="s">
        <v>100</v>
      </c>
      <c r="Z29" s="517">
        <v>1705000</v>
      </c>
      <c r="AA29" s="517"/>
      <c r="AB29" s="517"/>
      <c r="AC29" s="517"/>
      <c r="AD29" s="517"/>
      <c r="AE29" s="517"/>
      <c r="AF29" s="517"/>
      <c r="AG29" s="517"/>
      <c r="AH29" s="517"/>
      <c r="AI29" s="517"/>
      <c r="AJ29" s="517"/>
      <c r="AK29" s="517"/>
      <c r="AL29" s="517"/>
    </row>
    <row r="30" spans="1:80" s="1956" customFormat="1" ht="15" customHeight="1">
      <c r="A30" s="355"/>
      <c r="B30" s="355"/>
      <c r="C30" s="97"/>
      <c r="D30" s="1731"/>
      <c r="E30" s="1731"/>
      <c r="F30" s="1731"/>
      <c r="G30" s="2369"/>
      <c r="H30" s="2000"/>
      <c r="I30" s="2370"/>
      <c r="J30" s="2029"/>
      <c r="K30" s="353"/>
      <c r="L30" s="98"/>
      <c r="M30" s="527" t="s">
        <v>101</v>
      </c>
      <c r="N30" s="525"/>
      <c r="O30" s="525"/>
      <c r="P30" s="525"/>
      <c r="Q30" s="525"/>
      <c r="R30" s="525"/>
      <c r="S30" s="525"/>
      <c r="T30" s="525"/>
      <c r="U30" s="526"/>
      <c r="V30" s="525"/>
      <c r="W30" s="525"/>
      <c r="X30" s="517"/>
      <c r="Y30" s="517"/>
      <c r="Z30" s="517"/>
      <c r="AA30" s="517"/>
      <c r="AB30" s="517"/>
      <c r="AC30" s="517"/>
      <c r="AD30" s="517"/>
      <c r="AE30" s="517"/>
      <c r="AF30" s="517"/>
      <c r="AG30" s="517"/>
      <c r="AH30" s="517"/>
      <c r="AI30" s="517"/>
      <c r="AJ30" s="517"/>
      <c r="AK30" s="517"/>
      <c r="AL30" s="517"/>
    </row>
    <row r="31" spans="1:80" s="1822" customFormat="1" ht="15" customHeight="1">
      <c r="U31" s="106"/>
    </row>
    <row r="32" spans="1:80" s="1822" customFormat="1" ht="15" customHeight="1">
      <c r="A32" s="1727" t="s">
        <v>1102</v>
      </c>
      <c r="B32" s="1727"/>
      <c r="C32" s="1727"/>
      <c r="D32" s="1727"/>
      <c r="E32" s="1727"/>
      <c r="F32" s="1727"/>
      <c r="G32" s="1727"/>
      <c r="H32" s="1727"/>
      <c r="I32" s="1727"/>
      <c r="J32" s="1727"/>
      <c r="K32" s="1727"/>
      <c r="L32" s="1727"/>
      <c r="M32" s="1727"/>
      <c r="N32" s="1727"/>
      <c r="O32" s="1727"/>
      <c r="P32" s="1727"/>
      <c r="Q32" s="1727"/>
      <c r="R32" s="1727"/>
      <c r="S32" s="1727"/>
      <c r="T32" s="1727"/>
      <c r="U32" s="105"/>
      <c r="V32" s="1727"/>
      <c r="W32" s="1727"/>
    </row>
    <row r="33" spans="1:38" s="1822" customFormat="1" ht="15" customHeight="1">
      <c r="U33" s="106"/>
    </row>
    <row r="34" spans="1:38" s="1956" customFormat="1" ht="15" customHeight="1">
      <c r="A34" s="355"/>
      <c r="B34" s="355"/>
      <c r="C34" s="97"/>
      <c r="D34" s="1731"/>
      <c r="E34" s="1731"/>
      <c r="F34" s="1731"/>
      <c r="G34" s="1731"/>
      <c r="H34" s="1731"/>
      <c r="I34" s="1731"/>
      <c r="J34" s="1731"/>
      <c r="K34" s="1711" t="s">
        <v>1004</v>
      </c>
      <c r="L34" s="1641" t="s">
        <v>91</v>
      </c>
      <c r="M34" s="729"/>
      <c r="N34" s="730"/>
      <c r="O34" s="525"/>
      <c r="P34" s="525"/>
      <c r="Q34" s="525"/>
      <c r="R34" s="525"/>
      <c r="S34" s="525"/>
      <c r="T34" s="525"/>
      <c r="U34" s="526"/>
      <c r="V34" s="525"/>
      <c r="W34" s="525"/>
      <c r="X34" s="517"/>
      <c r="Y34" s="517" t="s">
        <v>100</v>
      </c>
      <c r="Z34" s="517">
        <v>1705000</v>
      </c>
      <c r="AA34" s="517"/>
      <c r="AB34" s="517"/>
      <c r="AC34" s="517"/>
      <c r="AD34" s="517"/>
      <c r="AE34" s="517"/>
      <c r="AF34" s="517"/>
      <c r="AG34" s="517"/>
      <c r="AH34" s="517"/>
      <c r="AI34" s="517"/>
      <c r="AJ34" s="517"/>
      <c r="AK34" s="517"/>
      <c r="AL34" s="517"/>
    </row>
    <row r="35" spans="1:38" s="1822" customFormat="1" ht="15" customHeight="1">
      <c r="U35" s="106"/>
    </row>
    <row r="36" spans="1:38" s="1822" customFormat="1" ht="15" customHeight="1">
      <c r="U36" s="106"/>
    </row>
    <row r="37" spans="1:38" s="1954" customFormat="1" ht="11.25" customHeight="1">
      <c r="A37" s="1727" t="s">
        <v>1103</v>
      </c>
    </row>
    <row r="38" spans="1:38" ht="11.25" customHeight="1"/>
    <row r="39" spans="1:38" s="1864" customFormat="1" ht="22.5" customHeight="1">
      <c r="A39" s="1703"/>
      <c r="B39" s="384"/>
      <c r="C39" s="773"/>
      <c r="D39" s="371"/>
      <c r="E39" s="774"/>
      <c r="F39" s="1724"/>
      <c r="G39" s="1732"/>
      <c r="H39" s="401"/>
    </row>
    <row r="40" spans="1:38" ht="11.25" customHeight="1"/>
    <row r="41" spans="1:38" s="1954" customFormat="1" ht="11.25" customHeight="1">
      <c r="A41" s="1727" t="s">
        <v>1104</v>
      </c>
    </row>
    <row r="42" spans="1:38" ht="11.25" customHeight="1"/>
    <row r="43" spans="1:38" s="1864" customFormat="1" ht="22.5" customHeight="1">
      <c r="A43" s="384"/>
      <c r="B43" s="384"/>
      <c r="C43" s="384"/>
      <c r="D43" s="371"/>
      <c r="E43" s="774"/>
      <c r="F43" s="775"/>
      <c r="G43" s="1732"/>
      <c r="H43" s="401"/>
    </row>
    <row r="46" spans="1:38" s="1954" customFormat="1" ht="17.25" customHeight="1">
      <c r="A46" s="1727" t="s">
        <v>1105</v>
      </c>
    </row>
    <row r="48" spans="1:38" s="1878" customFormat="1" ht="18.75" customHeight="1">
      <c r="A48" s="23"/>
      <c r="B48" s="1733"/>
      <c r="C48" s="1733"/>
      <c r="D48" s="1734"/>
      <c r="E48" s="1721"/>
      <c r="F48" s="782">
        <v>13</v>
      </c>
      <c r="G48" s="781"/>
      <c r="H48" s="711"/>
      <c r="I48" s="709"/>
      <c r="J48" s="445" t="s">
        <v>50</v>
      </c>
      <c r="K48" s="1735" t="s">
        <v>18</v>
      </c>
      <c r="L48" s="23"/>
      <c r="M48" s="1550"/>
      <c r="N48" s="1550"/>
      <c r="O48" s="1550"/>
      <c r="P48" s="441" t="s">
        <v>362</v>
      </c>
      <c r="Q48" s="441" t="s">
        <v>363</v>
      </c>
      <c r="R48" s="442" t="s">
        <v>364</v>
      </c>
      <c r="S48" s="1550" t="s">
        <v>365</v>
      </c>
      <c r="T48" s="1550"/>
      <c r="U48" s="1550"/>
      <c r="V48" s="1550"/>
    </row>
    <row r="50" spans="1:45" s="1954" customFormat="1" ht="11.25" customHeight="1">
      <c r="A50" s="1727" t="s">
        <v>1106</v>
      </c>
    </row>
    <row r="52" spans="1:45" s="1859" customFormat="1" ht="14.25" customHeight="1">
      <c r="C52" s="1601"/>
      <c r="D52" s="1781"/>
      <c r="E52" s="1689" t="s">
        <v>18</v>
      </c>
      <c r="F52" s="1780"/>
      <c r="G52" s="770"/>
      <c r="H52" s="1690"/>
      <c r="I52" s="1690"/>
      <c r="J52" s="364"/>
      <c r="K52" s="1775"/>
      <c r="L52" s="363"/>
      <c r="M52" s="1775"/>
      <c r="N52" s="364"/>
      <c r="O52" s="1775"/>
      <c r="P52" s="364"/>
      <c r="Q52" s="1775"/>
      <c r="R52" s="364"/>
      <c r="S52" s="768"/>
      <c r="T52" s="1690"/>
      <c r="U52" s="364"/>
      <c r="V52" s="364"/>
      <c r="W52" s="1779"/>
      <c r="X52" s="1690"/>
      <c r="Y52" s="364"/>
      <c r="Z52" s="364"/>
      <c r="AA52" s="1779"/>
      <c r="AB52" s="1690"/>
      <c r="AC52" s="364"/>
      <c r="AD52" s="1779"/>
      <c r="AE52" s="23"/>
      <c r="AF52" s="23"/>
      <c r="AG52" s="23"/>
      <c r="AH52" s="23"/>
      <c r="AJ52" s="1550"/>
      <c r="AK52" s="1550"/>
      <c r="AL52" s="1550"/>
      <c r="AM52" s="1550"/>
      <c r="AN52" s="1550"/>
      <c r="AO52" s="1550"/>
      <c r="AP52" s="1538" t="s">
        <v>351</v>
      </c>
      <c r="AQ52" s="1538" t="s">
        <v>351</v>
      </c>
      <c r="AR52" s="1550"/>
      <c r="AS52" s="1550"/>
    </row>
    <row r="54" spans="1:45" s="1954" customFormat="1" ht="11.25" customHeight="1">
      <c r="A54" s="1727" t="s">
        <v>1107</v>
      </c>
    </row>
    <row r="56" spans="1:45" s="1946" customFormat="1" ht="15" customHeight="1">
      <c r="A56" s="69" t="s">
        <v>75</v>
      </c>
      <c r="B56" s="52" t="s">
        <v>18</v>
      </c>
      <c r="C56" s="1736"/>
      <c r="D56" s="55"/>
      <c r="E56" s="314"/>
      <c r="F56" s="314"/>
      <c r="G56" s="1715"/>
      <c r="H56" s="1735"/>
      <c r="I56" s="1716"/>
      <c r="K56" s="189"/>
      <c r="L56" s="190"/>
    </row>
    <row r="58" spans="1:45" s="1954" customFormat="1" ht="11.25" customHeight="1">
      <c r="A58" s="1727" t="s">
        <v>1108</v>
      </c>
    </row>
    <row r="60" spans="1:45" s="1859" customFormat="1" ht="14.25" customHeight="1">
      <c r="A60" s="267"/>
      <c r="B60" s="1062"/>
      <c r="C60" s="304"/>
      <c r="D60" s="1722"/>
      <c r="E60" s="800"/>
      <c r="F60" s="1735"/>
      <c r="G60" s="23"/>
      <c r="I60" s="1538"/>
      <c r="J60" s="1538"/>
    </row>
    <row r="62" spans="1:45" s="1954" customFormat="1" ht="11.25" customHeight="1">
      <c r="A62" s="1727" t="s">
        <v>1109</v>
      </c>
    </row>
    <row r="64" spans="1:45" s="1859" customFormat="1" ht="27" customHeight="1">
      <c r="A64" s="1068"/>
      <c r="B64" s="1068"/>
      <c r="C64" s="1068"/>
      <c r="D64" s="1062"/>
      <c r="E64" s="1737"/>
      <c r="F64" s="2330"/>
      <c r="G64" s="2331"/>
      <c r="H64" s="2332" t="s">
        <v>50</v>
      </c>
      <c r="I64" s="2334"/>
      <c r="J64" s="2336"/>
      <c r="K64" s="2338"/>
      <c r="L64" s="2340"/>
      <c r="M64" s="2340"/>
      <c r="N64" s="2373"/>
      <c r="O64" s="2373"/>
      <c r="P64" s="2374" t="e">
        <f>DATEDIF(DATEVALUE(N64),DATEVALUE(O64),"y")&amp;"г. "&amp;DATEDIF(DATEVALUE(N64),DATEVALUE(O64),"ym")&amp;"мес. "&amp;DATEVALUE(O64)-DATE(YEAR(DATEVALUE(O64)),MONTH(DATEVALUE(O64)),1)&amp;"дн. "</f>
        <v>#VALUE!</v>
      </c>
      <c r="Q64" s="2341"/>
      <c r="R64" s="2341"/>
      <c r="S64" s="2341"/>
      <c r="T64" s="2336"/>
      <c r="U64" s="2341"/>
      <c r="V64" s="2341"/>
      <c r="W64" s="2341"/>
      <c r="X64" s="2336"/>
      <c r="Y64" s="2371" t="s">
        <v>50</v>
      </c>
      <c r="Z64" s="1720"/>
      <c r="AA64" s="1704">
        <v>1</v>
      </c>
      <c r="AB64" s="1153"/>
      <c r="AD64" s="1550" t="s">
        <v>1110</v>
      </c>
    </row>
    <row r="65" spans="1:58" s="1859" customFormat="1" ht="10.5" customHeight="1">
      <c r="A65" s="1068"/>
      <c r="B65" s="1068"/>
      <c r="C65" s="1068"/>
      <c r="D65" s="1062"/>
      <c r="E65" s="858"/>
      <c r="F65" s="2330"/>
      <c r="G65" s="2331"/>
      <c r="H65" s="2333"/>
      <c r="I65" s="2335"/>
      <c r="J65" s="2337"/>
      <c r="K65" s="2338"/>
      <c r="L65" s="2340"/>
      <c r="M65" s="2340"/>
      <c r="N65" s="2373"/>
      <c r="O65" s="2373"/>
      <c r="P65" s="2374"/>
      <c r="Q65" s="2341"/>
      <c r="R65" s="2341"/>
      <c r="S65" s="2341"/>
      <c r="T65" s="2337"/>
      <c r="U65" s="2341"/>
      <c r="V65" s="2341"/>
      <c r="W65" s="2341"/>
      <c r="X65" s="2337"/>
      <c r="Y65" s="2372"/>
      <c r="Z65" s="271"/>
      <c r="AA65" s="496"/>
      <c r="AB65" s="572" t="s">
        <v>1111</v>
      </c>
    </row>
    <row r="67" spans="1:58" s="1954" customFormat="1" ht="11.25" customHeight="1">
      <c r="A67" s="1727" t="s">
        <v>1112</v>
      </c>
    </row>
    <row r="69" spans="1:58" s="1859" customFormat="1" ht="27" customHeight="1">
      <c r="A69" s="1068"/>
      <c r="B69" s="1068"/>
      <c r="C69" s="1068"/>
      <c r="D69" s="1062"/>
      <c r="E69" s="1737"/>
      <c r="F69" s="1709"/>
      <c r="G69" s="1659"/>
      <c r="H69" s="1660"/>
      <c r="I69" s="1661"/>
      <c r="J69" s="1662"/>
      <c r="K69" s="1663"/>
      <c r="L69" s="1664"/>
      <c r="M69" s="1664"/>
      <c r="N69" s="1665"/>
      <c r="O69" s="1665"/>
      <c r="P69" s="1666"/>
      <c r="Q69" s="1667"/>
      <c r="R69" s="1667"/>
      <c r="S69" s="1667"/>
      <c r="T69" s="1662"/>
      <c r="U69" s="1667"/>
      <c r="V69" s="1667"/>
      <c r="W69" s="1667"/>
      <c r="X69" s="1662"/>
      <c r="Y69" s="1660"/>
      <c r="Z69" s="1720"/>
      <c r="AA69" s="1704">
        <v>1</v>
      </c>
      <c r="AB69" s="1153"/>
      <c r="AD69" s="1550" t="s">
        <v>1110</v>
      </c>
    </row>
    <row r="71" spans="1:58" s="1954" customFormat="1" ht="11.25" customHeight="1">
      <c r="A71" s="1727" t="s">
        <v>1113</v>
      </c>
    </row>
    <row r="72" spans="1:58" ht="17.25" customHeight="1"/>
    <row r="73" spans="1:58" s="1859" customFormat="1" ht="21" customHeight="1">
      <c r="A73" s="1069"/>
      <c r="B73" s="1068"/>
      <c r="C73" s="1068"/>
      <c r="D73" s="1062"/>
      <c r="E73" s="1072"/>
      <c r="F73" s="1027" t="e">
        <f>INDEX(IP_MAIN_LIST_NAME_IP,MATCH(A73,IP_MAIN_LIST_IP_ID,0))&amp;" ("&amp;INDEX(IP_MAIN_START_DATE,MATCH(A73,IP_MAIN_LIST_IP_ID,0))&amp;"-"&amp;INDEX(IP_MAIN_END_DATE,MATCH(A73,IP_MAIN_LIST_IP_ID,0))&amp;")"</f>
        <v>#N/A</v>
      </c>
      <c r="G73" s="1028"/>
      <c r="H73" s="1028"/>
      <c r="I73" s="1089"/>
      <c r="J73" s="1089"/>
      <c r="K73" s="1090"/>
      <c r="L73" s="1090"/>
      <c r="M73" s="1090"/>
      <c r="N73" s="1091"/>
      <c r="O73" s="1091"/>
      <c r="P73" s="1091"/>
      <c r="Q73" s="1091"/>
      <c r="R73" s="1091"/>
      <c r="S73" s="1091"/>
      <c r="T73" s="1091"/>
      <c r="U73" s="1091"/>
      <c r="V73" s="1091"/>
      <c r="W73" s="1091"/>
      <c r="X73" s="1091"/>
      <c r="Y73" s="1091"/>
      <c r="Z73" s="1091"/>
      <c r="AA73" s="1091"/>
      <c r="AB73" s="1091"/>
      <c r="AC73" s="1091"/>
      <c r="AD73" s="1091"/>
      <c r="AE73" s="1092"/>
      <c r="AF73" s="1090"/>
      <c r="AG73" s="1090"/>
      <c r="AH73" s="1090"/>
      <c r="AI73" s="1090"/>
      <c r="AJ73" s="1090"/>
      <c r="AK73" s="1090"/>
      <c r="AL73" s="1073"/>
      <c r="AM73" s="1733"/>
      <c r="AN73" s="1733"/>
      <c r="AO73" s="1733"/>
      <c r="AP73" s="1733"/>
      <c r="AQ73" s="1733"/>
      <c r="AR73" s="1733"/>
      <c r="AS73" s="1733"/>
      <c r="AT73" s="1733"/>
      <c r="AU73" s="1733"/>
      <c r="AV73" s="1733"/>
      <c r="AW73" s="1733"/>
      <c r="AX73" s="1733"/>
      <c r="AY73" s="1733"/>
      <c r="AZ73" s="1733"/>
      <c r="BA73" s="1733"/>
      <c r="BB73" s="1733"/>
      <c r="BC73" s="1733"/>
      <c r="BD73" s="1733"/>
      <c r="BE73" s="1733"/>
      <c r="BF73" s="1733"/>
    </row>
    <row r="74" spans="1:58" s="1859" customFormat="1" ht="11.25" customHeight="1">
      <c r="A74" s="1068"/>
      <c r="B74" s="1068"/>
      <c r="C74" s="1068"/>
      <c r="D74" s="1062"/>
      <c r="E74" s="1072"/>
      <c r="F74" s="2377"/>
      <c r="G74" s="2289"/>
      <c r="H74" s="2289" t="s">
        <v>91</v>
      </c>
      <c r="I74" s="2381"/>
      <c r="J74" s="2320"/>
      <c r="K74" s="2382"/>
      <c r="L74" s="2375" t="s">
        <v>48</v>
      </c>
      <c r="M74" s="2030"/>
      <c r="N74" s="1081"/>
      <c r="O74" s="1080" t="s">
        <v>346</v>
      </c>
      <c r="P74" s="1081"/>
      <c r="Q74" s="1081"/>
      <c r="R74" s="1081"/>
      <c r="S74" s="1081"/>
      <c r="T74" s="1081"/>
      <c r="U74" s="1081"/>
      <c r="V74" s="1081"/>
      <c r="W74" s="1081"/>
      <c r="X74" s="1081"/>
      <c r="Y74" s="1081"/>
      <c r="Z74" s="1081"/>
      <c r="AA74" s="1081"/>
      <c r="AB74" s="1081"/>
      <c r="AC74" s="1081"/>
      <c r="AD74" s="1081"/>
      <c r="AE74" s="1081"/>
      <c r="AF74" s="2379"/>
      <c r="AG74" s="2375"/>
      <c r="AH74" s="2375"/>
      <c r="AI74" s="2379"/>
      <c r="AJ74" s="2375"/>
      <c r="AK74" s="2375"/>
      <c r="AL74" s="1075"/>
      <c r="AM74" s="1733"/>
      <c r="AN74" s="1733"/>
      <c r="AO74" s="1733"/>
      <c r="AP74" s="1733"/>
      <c r="AQ74" s="1733"/>
      <c r="AR74" s="1733"/>
      <c r="AS74" s="1733"/>
      <c r="AT74" s="1733"/>
      <c r="AU74" s="1733"/>
      <c r="AV74" s="1733"/>
      <c r="AW74" s="1733"/>
      <c r="AX74" s="1733"/>
      <c r="AY74" s="1733"/>
      <c r="AZ74" s="1733"/>
      <c r="BA74" s="1733"/>
      <c r="BB74" s="1733"/>
      <c r="BC74" s="1733"/>
      <c r="BD74" s="1733"/>
      <c r="BE74" s="1733"/>
      <c r="BF74" s="1733"/>
    </row>
    <row r="75" spans="1:58" s="1859" customFormat="1" ht="11.25" customHeight="1">
      <c r="A75" s="1068"/>
      <c r="B75" s="1068"/>
      <c r="C75" s="1068"/>
      <c r="D75" s="1062"/>
      <c r="E75" s="1072"/>
      <c r="F75" s="2377"/>
      <c r="G75" s="2289"/>
      <c r="H75" s="2289"/>
      <c r="I75" s="2381"/>
      <c r="J75" s="2320"/>
      <c r="K75" s="2382"/>
      <c r="L75" s="2375"/>
      <c r="M75" s="2030"/>
      <c r="N75" s="2383"/>
      <c r="O75" s="2352">
        <v>1</v>
      </c>
      <c r="P75" s="2348" t="s">
        <v>48</v>
      </c>
      <c r="Q75" s="2250" t="s">
        <v>18</v>
      </c>
      <c r="R75" s="2250" t="s">
        <v>18</v>
      </c>
      <c r="S75" s="2250" t="s">
        <v>18</v>
      </c>
      <c r="T75" s="2250" t="s">
        <v>18</v>
      </c>
      <c r="U75" s="2250" t="s">
        <v>18</v>
      </c>
      <c r="V75" s="2250" t="s">
        <v>18</v>
      </c>
      <c r="W75" s="2250" t="s">
        <v>18</v>
      </c>
      <c r="X75" s="2250" t="s">
        <v>18</v>
      </c>
      <c r="Y75" s="2250"/>
      <c r="Z75" s="1078"/>
      <c r="AA75" s="1079"/>
      <c r="AB75" s="1079"/>
      <c r="AC75" s="1083"/>
      <c r="AD75" s="1083"/>
      <c r="AE75" s="1084"/>
      <c r="AF75" s="2379"/>
      <c r="AG75" s="2375"/>
      <c r="AH75" s="2375"/>
      <c r="AI75" s="2379"/>
      <c r="AJ75" s="2375"/>
      <c r="AK75" s="2375"/>
      <c r="AL75" s="1075"/>
      <c r="AM75" s="1733"/>
      <c r="AN75" s="1733"/>
      <c r="AO75" s="1733"/>
      <c r="AP75" s="1733"/>
      <c r="AQ75" s="1733"/>
      <c r="AR75" s="1733"/>
      <c r="AS75" s="1733"/>
      <c r="AT75" s="1733"/>
      <c r="AU75" s="1733"/>
      <c r="AV75" s="1733"/>
      <c r="AW75" s="1733"/>
      <c r="AX75" s="1733"/>
      <c r="AY75" s="1733"/>
      <c r="AZ75" s="1733"/>
      <c r="BA75" s="1733"/>
      <c r="BB75" s="1733"/>
      <c r="BC75" s="1733"/>
      <c r="BD75" s="1733"/>
      <c r="BE75" s="1733"/>
      <c r="BF75" s="1733"/>
    </row>
    <row r="76" spans="1:58" s="1859" customFormat="1" ht="11.25" customHeight="1">
      <c r="A76" s="1068"/>
      <c r="B76" s="1068"/>
      <c r="C76" s="1068"/>
      <c r="D76" s="1062"/>
      <c r="E76" s="1072"/>
      <c r="F76" s="2377"/>
      <c r="G76" s="2289"/>
      <c r="H76" s="2289"/>
      <c r="I76" s="2381"/>
      <c r="J76" s="2320"/>
      <c r="K76" s="2382"/>
      <c r="L76" s="2375"/>
      <c r="M76" s="2030"/>
      <c r="N76" s="2383"/>
      <c r="O76" s="2352"/>
      <c r="P76" s="2349"/>
      <c r="Q76" s="2250"/>
      <c r="R76" s="2250"/>
      <c r="S76" s="2380"/>
      <c r="T76" s="2250"/>
      <c r="U76" s="2250"/>
      <c r="V76" s="2250"/>
      <c r="W76" s="2250"/>
      <c r="X76" s="2250"/>
      <c r="Y76" s="2250"/>
      <c r="Z76" s="1738"/>
      <c r="AA76" s="1706">
        <v>1</v>
      </c>
      <c r="AB76" s="1082"/>
      <c r="AC76" s="1071"/>
      <c r="AD76" s="1082">
        <f>AB76</f>
        <v>0</v>
      </c>
      <c r="AE76" s="1071"/>
      <c r="AF76" s="2379"/>
      <c r="AG76" s="2375"/>
      <c r="AH76" s="2375"/>
      <c r="AI76" s="2379"/>
      <c r="AJ76" s="2375"/>
      <c r="AK76" s="2375"/>
      <c r="AL76" s="1075"/>
      <c r="AM76" s="1733"/>
      <c r="AN76" s="1733"/>
      <c r="AO76" s="1733"/>
      <c r="AP76" s="1733"/>
      <c r="AQ76" s="1733"/>
      <c r="AR76" s="1733"/>
      <c r="AS76" s="1733"/>
      <c r="AT76" s="1733"/>
      <c r="AU76" s="1733"/>
      <c r="AV76" s="1733"/>
      <c r="AW76" s="1733"/>
      <c r="AX76" s="1733"/>
      <c r="AY76" s="1733"/>
      <c r="AZ76" s="1733"/>
      <c r="BA76" s="1733"/>
      <c r="BB76" s="1733"/>
      <c r="BC76" s="1733"/>
      <c r="BD76" s="1733"/>
      <c r="BE76" s="1733"/>
      <c r="BF76" s="1733"/>
    </row>
    <row r="77" spans="1:58" s="1859" customFormat="1" ht="11.25" customHeight="1">
      <c r="A77" s="1068"/>
      <c r="B77" s="1068"/>
      <c r="C77" s="1068"/>
      <c r="D77" s="1062"/>
      <c r="E77" s="1072"/>
      <c r="F77" s="2377"/>
      <c r="G77" s="2289"/>
      <c r="H77" s="2289"/>
      <c r="I77" s="2381"/>
      <c r="J77" s="2320"/>
      <c r="K77" s="2382"/>
      <c r="L77" s="2375"/>
      <c r="M77" s="2030"/>
      <c r="N77" s="2383"/>
      <c r="O77" s="2352"/>
      <c r="P77" s="2350"/>
      <c r="Q77" s="2250"/>
      <c r="R77" s="2250"/>
      <c r="S77" s="2380"/>
      <c r="T77" s="2250"/>
      <c r="U77" s="2250"/>
      <c r="V77" s="2250"/>
      <c r="W77" s="2250"/>
      <c r="X77" s="2250"/>
      <c r="Y77" s="2250"/>
      <c r="Z77" s="1078"/>
      <c r="AA77" s="1079"/>
      <c r="AB77" s="1152" t="s">
        <v>1114</v>
      </c>
      <c r="AC77" s="1083"/>
      <c r="AD77" s="1083"/>
      <c r="AE77" s="1085"/>
      <c r="AF77" s="2379"/>
      <c r="AG77" s="2375"/>
      <c r="AH77" s="2375"/>
      <c r="AI77" s="2379"/>
      <c r="AJ77" s="2375"/>
      <c r="AK77" s="2375"/>
      <c r="AL77" s="1075"/>
      <c r="AM77" s="1733"/>
      <c r="AN77" s="1733"/>
      <c r="AO77" s="1733"/>
      <c r="AP77" s="1733"/>
      <c r="AQ77" s="1733"/>
      <c r="AR77" s="1733"/>
      <c r="AS77" s="1733"/>
      <c r="AT77" s="1733"/>
      <c r="AU77" s="1733"/>
      <c r="AV77" s="1733"/>
      <c r="AW77" s="1733"/>
      <c r="AX77" s="1733"/>
      <c r="AY77" s="1733"/>
      <c r="AZ77" s="1733"/>
      <c r="BA77" s="1733"/>
      <c r="BB77" s="1733"/>
      <c r="BC77" s="1733"/>
      <c r="BD77" s="1733"/>
      <c r="BE77" s="1733"/>
      <c r="BF77" s="1733"/>
    </row>
    <row r="78" spans="1:58" s="1859" customFormat="1" ht="11.25" customHeight="1">
      <c r="A78" s="1068"/>
      <c r="B78" s="1068"/>
      <c r="C78" s="1068"/>
      <c r="D78" s="1062"/>
      <c r="E78" s="1072"/>
      <c r="F78" s="2377"/>
      <c r="G78" s="2289"/>
      <c r="H78" s="2289"/>
      <c r="I78" s="2381"/>
      <c r="J78" s="2320"/>
      <c r="K78" s="2382"/>
      <c r="L78" s="2375"/>
      <c r="M78" s="2030"/>
      <c r="N78" s="1079"/>
      <c r="O78" s="1079"/>
      <c r="P78" s="1070" t="s">
        <v>1115</v>
      </c>
      <c r="Q78" s="1079"/>
      <c r="R78" s="1079"/>
      <c r="S78" s="1079"/>
      <c r="T78" s="1079"/>
      <c r="U78" s="1079"/>
      <c r="V78" s="1079"/>
      <c r="W78" s="1079"/>
      <c r="X78" s="1079"/>
      <c r="Y78" s="1079"/>
      <c r="Z78" s="1079"/>
      <c r="AA78" s="1079"/>
      <c r="AB78" s="1079"/>
      <c r="AC78" s="1079"/>
      <c r="AD78" s="1079"/>
      <c r="AE78" s="1086"/>
      <c r="AF78" s="2379"/>
      <c r="AG78" s="2375"/>
      <c r="AH78" s="2375"/>
      <c r="AI78" s="2379"/>
      <c r="AJ78" s="2375"/>
      <c r="AK78" s="2375"/>
      <c r="AL78" s="1075"/>
      <c r="AM78" s="1733"/>
      <c r="AN78" s="1733"/>
      <c r="AO78" s="1733"/>
      <c r="AP78" s="1733"/>
      <c r="AQ78" s="1733"/>
      <c r="AR78" s="1733"/>
      <c r="AS78" s="1733"/>
      <c r="AT78" s="1733"/>
      <c r="AU78" s="1733"/>
      <c r="AV78" s="1733"/>
      <c r="AW78" s="1733"/>
      <c r="AX78" s="1733"/>
      <c r="AY78" s="1733"/>
      <c r="AZ78" s="1733"/>
      <c r="BA78" s="1733"/>
      <c r="BB78" s="1733"/>
      <c r="BC78" s="1733"/>
      <c r="BD78" s="1733"/>
      <c r="BE78" s="1733"/>
      <c r="BF78" s="1733"/>
    </row>
    <row r="79" spans="1:58" s="1859" customFormat="1" ht="12" customHeight="1">
      <c r="A79" s="1068"/>
      <c r="B79" s="1068"/>
      <c r="C79" s="1068"/>
      <c r="D79" s="1062"/>
      <c r="E79" s="1072"/>
      <c r="F79" s="2378"/>
      <c r="G79" s="1094"/>
      <c r="H79" s="1094"/>
      <c r="I79" s="2376" t="s">
        <v>1116</v>
      </c>
      <c r="J79" s="2376"/>
      <c r="K79" s="2376"/>
      <c r="L79" s="1076"/>
      <c r="M79" s="1076"/>
      <c r="N79" s="1077"/>
      <c r="O79" s="1077"/>
      <c r="P79" s="1077"/>
      <c r="Q79" s="1077"/>
      <c r="R79" s="1077"/>
      <c r="S79" s="1077"/>
      <c r="T79" s="1077"/>
      <c r="U79" s="1077"/>
      <c r="V79" s="1077"/>
      <c r="W79" s="1077"/>
      <c r="X79" s="1077"/>
      <c r="Y79" s="1077"/>
      <c r="Z79" s="1077"/>
      <c r="AA79" s="1077"/>
      <c r="AB79" s="1077"/>
      <c r="AC79" s="1077"/>
      <c r="AD79" s="1077"/>
      <c r="AE79" s="1077"/>
      <c r="AF79" s="1077"/>
      <c r="AG79" s="1076"/>
      <c r="AH79" s="1076"/>
      <c r="AI79" s="1077"/>
      <c r="AJ79" s="1076"/>
      <c r="AK79" s="1087"/>
      <c r="AL79" s="1075"/>
      <c r="AM79" s="1733"/>
      <c r="AN79" s="1733"/>
      <c r="AO79" s="1733"/>
      <c r="AP79" s="1733"/>
      <c r="AQ79" s="1733"/>
      <c r="AR79" s="1733"/>
      <c r="AS79" s="1733"/>
      <c r="AT79" s="1733"/>
      <c r="AU79" s="1733"/>
      <c r="AV79" s="1733"/>
      <c r="AW79" s="1733"/>
      <c r="AX79" s="1733"/>
      <c r="AY79" s="1733"/>
      <c r="AZ79" s="1733"/>
      <c r="BA79" s="1733"/>
      <c r="BB79" s="1733"/>
      <c r="BC79" s="1733"/>
      <c r="BD79" s="1733"/>
      <c r="BE79" s="1733"/>
      <c r="BF79" s="1733"/>
    </row>
    <row r="81" spans="1:58" s="1954" customFormat="1" ht="11.25" customHeight="1">
      <c r="A81" s="1727" t="s">
        <v>1117</v>
      </c>
    </row>
    <row r="83" spans="1:58" s="1859" customFormat="1" ht="11.25" customHeight="1">
      <c r="A83" s="1068"/>
      <c r="B83" s="1068"/>
      <c r="C83" s="1068"/>
      <c r="D83" s="1062"/>
      <c r="E83" s="1072"/>
      <c r="F83" s="1739"/>
      <c r="G83" s="1740"/>
      <c r="H83" s="1740"/>
      <c r="I83" s="1676"/>
      <c r="J83" s="1676"/>
      <c r="K83" s="1741"/>
      <c r="L83" s="1676"/>
      <c r="M83" s="1740"/>
      <c r="N83" s="2351"/>
      <c r="O83" s="2352">
        <v>1</v>
      </c>
      <c r="P83" s="2348" t="s">
        <v>48</v>
      </c>
      <c r="Q83" s="2250" t="s">
        <v>18</v>
      </c>
      <c r="R83" s="2250" t="s">
        <v>18</v>
      </c>
      <c r="S83" s="2250" t="s">
        <v>18</v>
      </c>
      <c r="T83" s="2250" t="s">
        <v>18</v>
      </c>
      <c r="U83" s="2250" t="s">
        <v>18</v>
      </c>
      <c r="V83" s="2250" t="s">
        <v>18</v>
      </c>
      <c r="W83" s="2250" t="s">
        <v>18</v>
      </c>
      <c r="X83" s="2250" t="s">
        <v>18</v>
      </c>
      <c r="Y83" s="2250"/>
      <c r="Z83" s="1078"/>
      <c r="AA83" s="1079"/>
      <c r="AB83" s="1079"/>
      <c r="AC83" s="1083"/>
      <c r="AD83" s="1083"/>
      <c r="AE83" s="1083"/>
      <c r="AF83" s="1742"/>
      <c r="AG83" s="1671"/>
      <c r="AH83" s="1671"/>
      <c r="AI83" s="1742"/>
      <c r="AJ83" s="1671"/>
      <c r="AK83" s="1671"/>
      <c r="AL83" s="1075"/>
      <c r="AM83" s="1733"/>
      <c r="AN83" s="1733"/>
      <c r="AO83" s="1733"/>
      <c r="AP83" s="1733"/>
      <c r="AQ83" s="1733"/>
      <c r="AR83" s="1733"/>
      <c r="AS83" s="1733"/>
      <c r="AT83" s="1733"/>
      <c r="AU83" s="1733"/>
      <c r="AV83" s="1733"/>
      <c r="AW83" s="1733"/>
      <c r="AX83" s="1733"/>
      <c r="AY83" s="1733"/>
      <c r="AZ83" s="1733"/>
      <c r="BA83" s="1733"/>
      <c r="BB83" s="1733"/>
      <c r="BC83" s="1733"/>
      <c r="BD83" s="1733"/>
      <c r="BE83" s="1733"/>
      <c r="BF83" s="1733"/>
    </row>
    <row r="84" spans="1:58" s="1859" customFormat="1" ht="11.25" customHeight="1">
      <c r="A84" s="1068"/>
      <c r="B84" s="1068"/>
      <c r="C84" s="1068"/>
      <c r="D84" s="1062"/>
      <c r="E84" s="1072"/>
      <c r="F84" s="1739"/>
      <c r="G84" s="1740"/>
      <c r="H84" s="1740"/>
      <c r="I84" s="1677"/>
      <c r="J84" s="1677"/>
      <c r="K84" s="1741"/>
      <c r="L84" s="1677"/>
      <c r="M84" s="1740"/>
      <c r="N84" s="2351"/>
      <c r="O84" s="2352"/>
      <c r="P84" s="2349"/>
      <c r="Q84" s="2250"/>
      <c r="R84" s="2250"/>
      <c r="S84" s="2380"/>
      <c r="T84" s="2250"/>
      <c r="U84" s="2250"/>
      <c r="V84" s="2250"/>
      <c r="W84" s="2250"/>
      <c r="X84" s="2250"/>
      <c r="Y84" s="2250"/>
      <c r="Z84" s="1738"/>
      <c r="AA84" s="1706">
        <v>1</v>
      </c>
      <c r="AB84" s="1082"/>
      <c r="AC84" s="1071"/>
      <c r="AD84" s="1082">
        <f>AB84</f>
        <v>0</v>
      </c>
      <c r="AE84" s="643"/>
      <c r="AF84" s="1741"/>
      <c r="AG84" s="1671"/>
      <c r="AH84" s="1671"/>
      <c r="AI84" s="1741"/>
      <c r="AJ84" s="1671"/>
      <c r="AK84" s="1671"/>
      <c r="AL84" s="1075"/>
      <c r="AM84" s="1733"/>
      <c r="AN84" s="1733"/>
      <c r="AO84" s="1733"/>
      <c r="AP84" s="1733"/>
      <c r="AQ84" s="1733"/>
      <c r="AR84" s="1733"/>
      <c r="AS84" s="1733"/>
      <c r="AT84" s="1733"/>
      <c r="AU84" s="1733"/>
      <c r="AV84" s="1733"/>
      <c r="AW84" s="1733"/>
      <c r="AX84" s="1733"/>
      <c r="AY84" s="1733"/>
      <c r="AZ84" s="1733"/>
      <c r="BA84" s="1733"/>
      <c r="BB84" s="1733"/>
      <c r="BC84" s="1733"/>
      <c r="BD84" s="1733"/>
      <c r="BE84" s="1733"/>
      <c r="BF84" s="1733"/>
    </row>
    <row r="85" spans="1:58" s="1859" customFormat="1" ht="11.25" customHeight="1">
      <c r="A85" s="1068"/>
      <c r="B85" s="1068"/>
      <c r="C85" s="1068"/>
      <c r="D85" s="1062"/>
      <c r="E85" s="1072"/>
      <c r="F85" s="1739"/>
      <c r="G85" s="1740"/>
      <c r="H85" s="1740"/>
      <c r="I85" s="1678"/>
      <c r="J85" s="1678"/>
      <c r="K85" s="1741"/>
      <c r="L85" s="1678"/>
      <c r="M85" s="1740"/>
      <c r="N85" s="2351"/>
      <c r="O85" s="2352"/>
      <c r="P85" s="2350"/>
      <c r="Q85" s="2250"/>
      <c r="R85" s="2250"/>
      <c r="S85" s="2380"/>
      <c r="T85" s="2250"/>
      <c r="U85" s="2250"/>
      <c r="V85" s="2250"/>
      <c r="W85" s="2250"/>
      <c r="X85" s="2250"/>
      <c r="Y85" s="2250"/>
      <c r="Z85" s="1078"/>
      <c r="AA85" s="1079"/>
      <c r="AB85" s="1152" t="s">
        <v>1114</v>
      </c>
      <c r="AC85" s="1083"/>
      <c r="AD85" s="1083"/>
      <c r="AE85" s="1083"/>
      <c r="AF85" s="1743"/>
      <c r="AG85" s="1671"/>
      <c r="AH85" s="1671"/>
      <c r="AI85" s="1743"/>
      <c r="AJ85" s="1671"/>
      <c r="AK85" s="1671"/>
      <c r="AL85" s="1075"/>
      <c r="AM85" s="1733"/>
      <c r="AN85" s="1733"/>
      <c r="AO85" s="1733"/>
      <c r="AP85" s="1733"/>
      <c r="AQ85" s="1733"/>
      <c r="AR85" s="1733"/>
      <c r="AS85" s="1733"/>
      <c r="AT85" s="1733"/>
      <c r="AU85" s="1733"/>
      <c r="AV85" s="1733"/>
      <c r="AW85" s="1733"/>
      <c r="AX85" s="1733"/>
      <c r="AY85" s="1733"/>
      <c r="AZ85" s="1733"/>
      <c r="BA85" s="1733"/>
      <c r="BB85" s="1733"/>
      <c r="BC85" s="1733"/>
      <c r="BD85" s="1733"/>
      <c r="BE85" s="1733"/>
      <c r="BF85" s="1733"/>
    </row>
    <row r="87" spans="1:58" s="1954" customFormat="1" ht="11.25" customHeight="1">
      <c r="A87" s="1727" t="s">
        <v>1118</v>
      </c>
    </row>
    <row r="89" spans="1:58" s="1859" customFormat="1" ht="11.25" customHeight="1">
      <c r="A89" s="1068"/>
      <c r="B89" s="1068"/>
      <c r="C89" s="1068"/>
      <c r="D89" s="1062"/>
      <c r="E89" s="1072"/>
      <c r="F89" s="1740"/>
      <c r="G89" s="1740"/>
      <c r="H89" s="1740"/>
      <c r="I89" s="1740"/>
      <c r="J89" s="1740"/>
      <c r="K89" s="1740"/>
      <c r="L89" s="1740"/>
      <c r="M89" s="1740"/>
      <c r="N89" s="1740"/>
      <c r="O89" s="1740"/>
      <c r="P89" s="1740"/>
      <c r="Q89" s="1740"/>
      <c r="R89" s="1740"/>
      <c r="S89" s="1740"/>
      <c r="T89" s="1740"/>
      <c r="U89" s="1740"/>
      <c r="V89" s="1740"/>
      <c r="W89" s="1740"/>
      <c r="X89" s="1740"/>
      <c r="Y89" s="1740"/>
      <c r="Z89" s="1744"/>
      <c r="AA89" s="1726">
        <v>1</v>
      </c>
      <c r="AB89" s="1082"/>
      <c r="AC89" s="1071"/>
      <c r="AD89" s="1082">
        <f>AB89</f>
        <v>0</v>
      </c>
      <c r="AE89" s="1071"/>
      <c r="AF89" s="1741"/>
      <c r="AG89" s="1671"/>
      <c r="AH89" s="1671"/>
      <c r="AI89" s="1741"/>
      <c r="AJ89" s="1671"/>
      <c r="AK89" s="1671"/>
      <c r="AL89" s="1075"/>
      <c r="AM89" s="1733"/>
      <c r="AN89" s="1733"/>
      <c r="AO89" s="1733"/>
      <c r="AP89" s="1733"/>
      <c r="AQ89" s="1733"/>
      <c r="AR89" s="1733"/>
      <c r="AS89" s="1733"/>
      <c r="AT89" s="1733"/>
      <c r="AU89" s="1733"/>
      <c r="AV89" s="1733"/>
      <c r="AW89" s="1733"/>
      <c r="AX89" s="1733"/>
      <c r="AY89" s="1733"/>
      <c r="AZ89" s="1733"/>
      <c r="BA89" s="1733"/>
      <c r="BB89" s="1733"/>
      <c r="BC89" s="1733"/>
      <c r="BD89" s="1733"/>
      <c r="BE89" s="1733"/>
      <c r="BF89" s="1733"/>
    </row>
    <row r="91" spans="1:58" s="1954" customFormat="1" ht="11.25" customHeight="1">
      <c r="A91" s="1727" t="s">
        <v>1119</v>
      </c>
    </row>
    <row r="93" spans="1:58" s="1859" customFormat="1" ht="11.25" customHeight="1">
      <c r="A93" s="1068"/>
      <c r="B93" s="1068"/>
      <c r="C93" s="1068"/>
      <c r="D93" s="1062"/>
      <c r="E93" s="1072"/>
      <c r="F93" s="1739"/>
      <c r="G93" s="1740"/>
      <c r="H93" s="2289" t="s">
        <v>91</v>
      </c>
      <c r="I93" s="2381"/>
      <c r="J93" s="2320"/>
      <c r="K93" s="2382"/>
      <c r="L93" s="2375" t="s">
        <v>48</v>
      </c>
      <c r="M93" s="2030"/>
      <c r="N93" s="1081"/>
      <c r="O93" s="1080" t="s">
        <v>346</v>
      </c>
      <c r="P93" s="1081"/>
      <c r="Q93" s="1081"/>
      <c r="R93" s="1081"/>
      <c r="S93" s="1081"/>
      <c r="T93" s="1081"/>
      <c r="U93" s="1081"/>
      <c r="V93" s="1081"/>
      <c r="W93" s="1081"/>
      <c r="X93" s="1081"/>
      <c r="Y93" s="1081"/>
      <c r="Z93" s="1081"/>
      <c r="AA93" s="1081"/>
      <c r="AB93" s="1081"/>
      <c r="AC93" s="1081"/>
      <c r="AD93" s="1081"/>
      <c r="AE93" s="1081"/>
      <c r="AF93" s="2379"/>
      <c r="AG93" s="2375"/>
      <c r="AH93" s="2375"/>
      <c r="AI93" s="2379"/>
      <c r="AJ93" s="2375"/>
      <c r="AK93" s="2375"/>
      <c r="AL93" s="1075"/>
      <c r="AM93" s="1733"/>
      <c r="AN93" s="1733"/>
      <c r="AO93" s="1733"/>
      <c r="AP93" s="1733"/>
      <c r="AQ93" s="1733"/>
      <c r="AR93" s="1733"/>
      <c r="AS93" s="1733"/>
      <c r="AT93" s="1733"/>
      <c r="AU93" s="1733"/>
      <c r="AV93" s="1733"/>
      <c r="AW93" s="1733"/>
      <c r="AX93" s="1733"/>
      <c r="AY93" s="1733"/>
      <c r="AZ93" s="1733"/>
      <c r="BA93" s="1733"/>
      <c r="BB93" s="1733"/>
      <c r="BC93" s="1733"/>
      <c r="BD93" s="1733"/>
      <c r="BE93" s="1733"/>
      <c r="BF93" s="1733"/>
    </row>
    <row r="94" spans="1:58" s="1859" customFormat="1" ht="11.25" customHeight="1">
      <c r="A94" s="1068"/>
      <c r="B94" s="1068"/>
      <c r="C94" s="1068"/>
      <c r="D94" s="1062"/>
      <c r="E94" s="1072"/>
      <c r="F94" s="1739"/>
      <c r="G94" s="1740"/>
      <c r="H94" s="2289"/>
      <c r="I94" s="2381"/>
      <c r="J94" s="2320"/>
      <c r="K94" s="2382"/>
      <c r="L94" s="2375"/>
      <c r="M94" s="2030"/>
      <c r="N94" s="2383"/>
      <c r="O94" s="2352">
        <v>1</v>
      </c>
      <c r="P94" s="2348" t="s">
        <v>48</v>
      </c>
      <c r="Q94" s="2250" t="s">
        <v>18</v>
      </c>
      <c r="R94" s="2250" t="s">
        <v>18</v>
      </c>
      <c r="S94" s="2250" t="s">
        <v>18</v>
      </c>
      <c r="T94" s="2250" t="s">
        <v>18</v>
      </c>
      <c r="U94" s="2250" t="s">
        <v>18</v>
      </c>
      <c r="V94" s="2250" t="s">
        <v>18</v>
      </c>
      <c r="W94" s="2250" t="s">
        <v>18</v>
      </c>
      <c r="X94" s="2250" t="s">
        <v>18</v>
      </c>
      <c r="Y94" s="2250"/>
      <c r="Z94" s="1078"/>
      <c r="AA94" s="1079"/>
      <c r="AB94" s="1079"/>
      <c r="AC94" s="1083"/>
      <c r="AD94" s="1083"/>
      <c r="AE94" s="1084"/>
      <c r="AF94" s="2379"/>
      <c r="AG94" s="2375"/>
      <c r="AH94" s="2375"/>
      <c r="AI94" s="2379"/>
      <c r="AJ94" s="2375"/>
      <c r="AK94" s="2375"/>
      <c r="AL94" s="1075"/>
      <c r="AM94" s="1733"/>
      <c r="AN94" s="1733"/>
      <c r="AO94" s="1733"/>
      <c r="AP94" s="1733"/>
      <c r="AQ94" s="1733"/>
      <c r="AR94" s="1733"/>
      <c r="AS94" s="1733"/>
      <c r="AT94" s="1733"/>
      <c r="AU94" s="1733"/>
      <c r="AV94" s="1733"/>
      <c r="AW94" s="1733"/>
      <c r="AX94" s="1733"/>
      <c r="AY94" s="1733"/>
      <c r="AZ94" s="1733"/>
      <c r="BA94" s="1733"/>
      <c r="BB94" s="1733"/>
      <c r="BC94" s="1733"/>
      <c r="BD94" s="1733"/>
      <c r="BE94" s="1733"/>
      <c r="BF94" s="1733"/>
    </row>
    <row r="95" spans="1:58" s="1859" customFormat="1" ht="11.25" customHeight="1">
      <c r="A95" s="1068"/>
      <c r="B95" s="1068"/>
      <c r="C95" s="1068"/>
      <c r="D95" s="1062"/>
      <c r="E95" s="1072"/>
      <c r="F95" s="1739"/>
      <c r="G95" s="1740"/>
      <c r="H95" s="2289"/>
      <c r="I95" s="2381"/>
      <c r="J95" s="2320"/>
      <c r="K95" s="2382"/>
      <c r="L95" s="2375"/>
      <c r="M95" s="2030"/>
      <c r="N95" s="2383"/>
      <c r="O95" s="2352"/>
      <c r="P95" s="2349"/>
      <c r="Q95" s="2250"/>
      <c r="R95" s="2250"/>
      <c r="S95" s="2380"/>
      <c r="T95" s="2250"/>
      <c r="U95" s="2250"/>
      <c r="V95" s="2250"/>
      <c r="W95" s="2250"/>
      <c r="X95" s="2250"/>
      <c r="Y95" s="2250"/>
      <c r="Z95" s="1738"/>
      <c r="AA95" s="1706">
        <v>1</v>
      </c>
      <c r="AB95" s="1082"/>
      <c r="AC95" s="1071"/>
      <c r="AD95" s="1082">
        <f>AB95</f>
        <v>0</v>
      </c>
      <c r="AE95" s="1071"/>
      <c r="AF95" s="2379"/>
      <c r="AG95" s="2375"/>
      <c r="AH95" s="2375"/>
      <c r="AI95" s="2379"/>
      <c r="AJ95" s="2375"/>
      <c r="AK95" s="2375"/>
      <c r="AL95" s="1075"/>
      <c r="AM95" s="1733"/>
      <c r="AN95" s="1733"/>
      <c r="AO95" s="1733"/>
      <c r="AP95" s="1733"/>
      <c r="AQ95" s="1733"/>
      <c r="AR95" s="1733"/>
      <c r="AS95" s="1733"/>
      <c r="AT95" s="1733"/>
      <c r="AU95" s="1733"/>
      <c r="AV95" s="1733"/>
      <c r="AW95" s="1733"/>
      <c r="AX95" s="1733"/>
      <c r="AY95" s="1733"/>
      <c r="AZ95" s="1733"/>
      <c r="BA95" s="1733"/>
      <c r="BB95" s="1733"/>
      <c r="BC95" s="1733"/>
      <c r="BD95" s="1733"/>
      <c r="BE95" s="1733"/>
      <c r="BF95" s="1733"/>
    </row>
    <row r="96" spans="1:58" s="1859" customFormat="1" ht="11.25" customHeight="1">
      <c r="A96" s="1068"/>
      <c r="B96" s="1068"/>
      <c r="C96" s="1068"/>
      <c r="D96" s="1062"/>
      <c r="E96" s="1072"/>
      <c r="F96" s="1739"/>
      <c r="G96" s="1740"/>
      <c r="H96" s="2289"/>
      <c r="I96" s="2381"/>
      <c r="J96" s="2320"/>
      <c r="K96" s="2382"/>
      <c r="L96" s="2375"/>
      <c r="M96" s="2030"/>
      <c r="N96" s="2383"/>
      <c r="O96" s="2352"/>
      <c r="P96" s="2350"/>
      <c r="Q96" s="2250"/>
      <c r="R96" s="2250"/>
      <c r="S96" s="2380"/>
      <c r="T96" s="2250"/>
      <c r="U96" s="2250"/>
      <c r="V96" s="2250"/>
      <c r="W96" s="2250"/>
      <c r="X96" s="2250"/>
      <c r="Y96" s="2250"/>
      <c r="Z96" s="1078"/>
      <c r="AA96" s="1079"/>
      <c r="AB96" s="1152" t="s">
        <v>1114</v>
      </c>
      <c r="AC96" s="1083"/>
      <c r="AD96" s="1083"/>
      <c r="AE96" s="1085"/>
      <c r="AF96" s="2379"/>
      <c r="AG96" s="2375"/>
      <c r="AH96" s="2375"/>
      <c r="AI96" s="2379"/>
      <c r="AJ96" s="2375"/>
      <c r="AK96" s="2375"/>
      <c r="AL96" s="1075"/>
      <c r="AM96" s="1733"/>
      <c r="AN96" s="1733"/>
      <c r="AO96" s="1733"/>
      <c r="AP96" s="1733"/>
      <c r="AQ96" s="1733"/>
      <c r="AR96" s="1733"/>
      <c r="AS96" s="1733"/>
      <c r="AT96" s="1733"/>
      <c r="AU96" s="1733"/>
      <c r="AV96" s="1733"/>
      <c r="AW96" s="1733"/>
      <c r="AX96" s="1733"/>
      <c r="AY96" s="1733"/>
      <c r="AZ96" s="1733"/>
      <c r="BA96" s="1733"/>
      <c r="BB96" s="1733"/>
      <c r="BC96" s="1733"/>
      <c r="BD96" s="1733"/>
      <c r="BE96" s="1733"/>
      <c r="BF96" s="1733"/>
    </row>
    <row r="97" spans="1:184" s="1859" customFormat="1" ht="11.25" customHeight="1">
      <c r="A97" s="1068"/>
      <c r="B97" s="1068"/>
      <c r="C97" s="1068"/>
      <c r="D97" s="1062"/>
      <c r="E97" s="1072"/>
      <c r="F97" s="1739"/>
      <c r="G97" s="1740"/>
      <c r="H97" s="2289"/>
      <c r="I97" s="2381"/>
      <c r="J97" s="2320"/>
      <c r="K97" s="2382"/>
      <c r="L97" s="2375"/>
      <c r="M97" s="2030"/>
      <c r="N97" s="1079"/>
      <c r="O97" s="1079"/>
      <c r="P97" s="1070" t="s">
        <v>1115</v>
      </c>
      <c r="Q97" s="1079"/>
      <c r="R97" s="1079"/>
      <c r="S97" s="1079"/>
      <c r="T97" s="1079"/>
      <c r="U97" s="1079"/>
      <c r="V97" s="1079"/>
      <c r="W97" s="1079"/>
      <c r="X97" s="1079"/>
      <c r="Y97" s="1079"/>
      <c r="Z97" s="1079"/>
      <c r="AA97" s="1079"/>
      <c r="AB97" s="1079"/>
      <c r="AC97" s="1079"/>
      <c r="AD97" s="1079"/>
      <c r="AE97" s="1086"/>
      <c r="AF97" s="2379"/>
      <c r="AG97" s="2375"/>
      <c r="AH97" s="2375"/>
      <c r="AI97" s="2379"/>
      <c r="AJ97" s="2375"/>
      <c r="AK97" s="2375"/>
      <c r="AL97" s="1075"/>
      <c r="AM97" s="1733"/>
      <c r="AN97" s="1733"/>
      <c r="AO97" s="1733"/>
      <c r="AP97" s="1733"/>
      <c r="AQ97" s="1733"/>
      <c r="AR97" s="1733"/>
      <c r="AS97" s="1733"/>
      <c r="AT97" s="1733"/>
      <c r="AU97" s="1733"/>
      <c r="AV97" s="1733"/>
      <c r="AW97" s="1733"/>
      <c r="AX97" s="1733"/>
      <c r="AY97" s="1733"/>
      <c r="AZ97" s="1733"/>
      <c r="BA97" s="1733"/>
      <c r="BB97" s="1733"/>
      <c r="BC97" s="1733"/>
      <c r="BD97" s="1733"/>
      <c r="BE97" s="1733"/>
      <c r="BF97" s="1733"/>
    </row>
    <row r="99" spans="1:184" s="1954" customFormat="1" ht="11.25" customHeight="1">
      <c r="A99" s="1727" t="s">
        <v>1120</v>
      </c>
    </row>
    <row r="100" spans="1:184" ht="17.25" customHeight="1"/>
    <row r="101" spans="1:184" s="1924" customFormat="1" ht="21" customHeight="1">
      <c r="A101" s="1069"/>
      <c r="B101" s="851"/>
      <c r="D101" s="838"/>
      <c r="E101" s="850" t="s">
        <v>18</v>
      </c>
      <c r="F101" s="1026" t="e">
        <f>INDEX(IP_MAIN_LIST_NAME_IP,MATCH(A101,IP_MAIN_LIST_IP_ID,0))&amp;" ("&amp;INDEX(IP_MAIN_START_DATE,MATCH(A101,IP_MAIN_LIST_IP_ID,0))&amp;"-"&amp;INDEX(IP_MAIN_END_DATE,MATCH(A101,IP_MAIN_LIST_IP_ID,0))&amp;")"</f>
        <v>#N/A</v>
      </c>
      <c r="G101" s="1107"/>
      <c r="H101" s="1108"/>
      <c r="I101" s="1108"/>
      <c r="J101" s="1108"/>
      <c r="K101" s="1108"/>
      <c r="L101" s="1108"/>
      <c r="M101" s="1108"/>
      <c r="N101" s="1108"/>
      <c r="O101" s="1107"/>
      <c r="P101" s="1107"/>
      <c r="Q101" s="1107"/>
      <c r="R101" s="1107"/>
      <c r="S101" s="1107"/>
      <c r="T101" s="1107"/>
      <c r="U101" s="1109"/>
      <c r="V101" s="1109"/>
      <c r="W101" s="1109"/>
      <c r="X101" s="1109"/>
      <c r="Y101" s="1109"/>
      <c r="Z101" s="1109"/>
      <c r="AA101" s="1109"/>
      <c r="AB101" s="1107"/>
      <c r="AC101" s="1108"/>
      <c r="AD101" s="1108"/>
      <c r="AE101" s="1108"/>
      <c r="AF101" s="1108"/>
      <c r="AG101" s="1108"/>
      <c r="AH101" s="1108"/>
      <c r="AI101" s="1108"/>
      <c r="AJ101" s="1108"/>
      <c r="AK101" s="1108"/>
      <c r="AL101" s="1108"/>
      <c r="AM101" s="1108"/>
      <c r="AN101" s="1108"/>
      <c r="AO101" s="1108"/>
      <c r="AP101" s="1108"/>
      <c r="AQ101" s="1108"/>
      <c r="AR101" s="1108"/>
      <c r="AS101" s="1108"/>
      <c r="AT101" s="1108"/>
      <c r="AU101" s="1108"/>
      <c r="AV101" s="1108"/>
      <c r="AW101" s="1108"/>
      <c r="AX101" s="1108"/>
      <c r="AY101" s="1108"/>
      <c r="AZ101" s="1108"/>
      <c r="BA101" s="1108"/>
      <c r="BB101" s="1108"/>
      <c r="BC101" s="1108"/>
      <c r="BD101" s="1108"/>
      <c r="BE101" s="1108"/>
      <c r="BF101" s="1108"/>
      <c r="BG101" s="1108"/>
      <c r="BH101" s="1108"/>
      <c r="BI101" s="1108"/>
      <c r="BJ101" s="1108"/>
      <c r="BK101" s="1108"/>
      <c r="BL101" s="1108"/>
      <c r="BM101" s="1108"/>
      <c r="BN101" s="1108"/>
      <c r="BO101" s="1108"/>
      <c r="BP101" s="1108"/>
      <c r="BQ101" s="1108"/>
      <c r="BR101" s="1108"/>
      <c r="BS101" s="1108"/>
      <c r="BT101" s="1108"/>
      <c r="BU101" s="1108"/>
      <c r="BV101" s="1108"/>
      <c r="BW101" s="1108"/>
      <c r="BX101" s="1108"/>
      <c r="BY101" s="1108"/>
      <c r="BZ101" s="1108"/>
      <c r="CA101" s="1108"/>
      <c r="CB101" s="1108"/>
      <c r="CC101" s="1108"/>
      <c r="CD101" s="1108"/>
      <c r="CE101" s="1108"/>
      <c r="CF101" s="1108"/>
      <c r="CG101" s="1108"/>
      <c r="CH101" s="1108"/>
      <c r="CI101" s="1108"/>
      <c r="CJ101" s="1108"/>
      <c r="CK101" s="1108"/>
      <c r="CL101" s="1110"/>
      <c r="CM101" s="1110"/>
      <c r="CN101" s="1110"/>
      <c r="CO101" s="1110"/>
      <c r="CP101" s="1110"/>
      <c r="CQ101" s="1110"/>
      <c r="CR101" s="1110"/>
      <c r="CS101" s="1110"/>
      <c r="CT101" s="1110"/>
      <c r="CU101" s="1110"/>
      <c r="CV101" s="1110"/>
      <c r="CW101" s="1110"/>
      <c r="CX101" s="1110"/>
      <c r="CY101" s="1110"/>
      <c r="CZ101" s="1110"/>
      <c r="DA101" s="1110"/>
      <c r="DB101" s="1110"/>
      <c r="DC101" s="1110"/>
      <c r="DD101" s="1110"/>
      <c r="DE101" s="1110"/>
      <c r="DF101" s="1110"/>
      <c r="DG101" s="1110"/>
      <c r="DH101" s="1110"/>
      <c r="DI101" s="1110"/>
      <c r="DJ101" s="1110"/>
      <c r="DK101" s="1110"/>
      <c r="DL101" s="1110"/>
      <c r="DM101" s="1110"/>
      <c r="DN101" s="1110"/>
      <c r="DO101" s="1110"/>
      <c r="DP101" s="1110"/>
      <c r="DQ101" s="1110"/>
      <c r="DR101" s="1110"/>
      <c r="DS101" s="1110"/>
      <c r="DT101" s="1110"/>
      <c r="DU101" s="1110"/>
      <c r="DV101" s="1110"/>
      <c r="DW101" s="1110"/>
      <c r="DX101" s="1110"/>
      <c r="DY101" s="1110"/>
      <c r="DZ101" s="1110"/>
      <c r="EA101" s="1110"/>
      <c r="EB101" s="1110"/>
      <c r="EC101" s="1110"/>
      <c r="ED101" s="1110"/>
      <c r="EE101" s="1110"/>
      <c r="EF101" s="1110"/>
      <c r="EG101" s="1110"/>
      <c r="EH101" s="1110"/>
      <c r="EI101" s="1110"/>
      <c r="EJ101" s="1110"/>
      <c r="EK101" s="1110"/>
      <c r="EL101" s="1110"/>
      <c r="EM101" s="1110"/>
      <c r="EN101" s="1110"/>
      <c r="EO101" s="1110"/>
      <c r="EP101" s="1110"/>
      <c r="EQ101" s="1110"/>
      <c r="ER101" s="1110"/>
      <c r="ES101" s="1110"/>
      <c r="ET101" s="1110"/>
      <c r="EU101" s="1110"/>
      <c r="EV101" s="1110"/>
      <c r="EW101" s="1110"/>
      <c r="EX101" s="1110"/>
      <c r="EY101" s="1110"/>
      <c r="EZ101" s="1110"/>
      <c r="FA101" s="1110"/>
      <c r="FB101" s="1110"/>
      <c r="FC101" s="1110"/>
      <c r="FD101" s="1110"/>
      <c r="FE101" s="1110"/>
      <c r="FF101" s="1110"/>
      <c r="FG101" s="1110"/>
      <c r="FH101" s="1110"/>
      <c r="FI101" s="1110"/>
      <c r="FJ101" s="1110"/>
      <c r="FK101" s="1110"/>
      <c r="FL101" s="1110"/>
      <c r="FM101" s="1110"/>
      <c r="FN101" s="1110"/>
      <c r="FO101" s="1110"/>
      <c r="FP101" s="1110"/>
      <c r="FQ101" s="1110"/>
      <c r="FR101" s="1110"/>
      <c r="FS101" s="1110"/>
      <c r="FT101" s="1110"/>
      <c r="FU101" s="1110"/>
      <c r="FV101" s="1111"/>
      <c r="FW101" s="1105"/>
      <c r="FX101" s="1106"/>
    </row>
    <row r="102" spans="1:184" s="1924" customFormat="1" ht="24.75" customHeight="1">
      <c r="B102" s="837"/>
      <c r="C102" s="838"/>
      <c r="D102" s="838"/>
      <c r="E102" s="1745"/>
      <c r="F102" s="1112">
        <v>1</v>
      </c>
      <c r="G102" s="1113"/>
      <c r="H102" s="1114"/>
      <c r="I102" s="1122"/>
      <c r="J102" s="1115"/>
      <c r="K102" s="1115"/>
      <c r="L102" s="1115"/>
      <c r="M102" s="1115"/>
      <c r="N102" s="1115"/>
      <c r="O102" s="1116"/>
      <c r="P102" s="1116"/>
      <c r="Q102" s="1116"/>
      <c r="R102" s="1116"/>
      <c r="S102" s="1116"/>
      <c r="T102" s="1116"/>
      <c r="U102" s="1116"/>
      <c r="V102" s="1116"/>
      <c r="W102" s="1116"/>
      <c r="X102" s="1116"/>
      <c r="Y102" s="1116"/>
      <c r="Z102" s="1116"/>
      <c r="AA102" s="1116"/>
      <c r="AB102" s="1116"/>
      <c r="AC102" s="1115"/>
      <c r="AD102" s="1115"/>
      <c r="AE102" s="1115"/>
      <c r="AF102" s="1115"/>
      <c r="AG102" s="1115"/>
      <c r="AH102" s="1115"/>
      <c r="AI102" s="1115"/>
      <c r="AJ102" s="1115"/>
      <c r="AK102" s="1115"/>
      <c r="AL102" s="1115"/>
      <c r="AM102" s="1115"/>
      <c r="AN102" s="1115"/>
      <c r="AO102" s="1115"/>
      <c r="AP102" s="1115"/>
      <c r="AQ102" s="1115"/>
      <c r="AR102" s="1115"/>
      <c r="AS102" s="1115"/>
      <c r="AT102" s="1115"/>
      <c r="AU102" s="1115"/>
      <c r="AV102" s="1115"/>
      <c r="AW102" s="1115"/>
      <c r="AX102" s="1115"/>
      <c r="AY102" s="1115"/>
      <c r="AZ102" s="1115"/>
      <c r="BA102" s="1115"/>
      <c r="BB102" s="1115"/>
      <c r="BC102" s="1115"/>
      <c r="BD102" s="1115"/>
      <c r="BE102" s="1115"/>
      <c r="BF102" s="1115"/>
      <c r="BG102" s="1115"/>
      <c r="BH102" s="1115"/>
      <c r="BI102" s="1115"/>
      <c r="BJ102" s="1115"/>
      <c r="BK102" s="1115"/>
      <c r="BL102" s="1115"/>
      <c r="BM102" s="1115"/>
      <c r="BN102" s="1115"/>
      <c r="BO102" s="1115"/>
      <c r="BP102" s="1115"/>
      <c r="BQ102" s="1115"/>
      <c r="BR102" s="1115"/>
      <c r="BS102" s="1115"/>
      <c r="BT102" s="1117"/>
      <c r="BU102" s="1117"/>
      <c r="BV102" s="1117"/>
      <c r="BW102" s="1117"/>
      <c r="BX102" s="1117"/>
      <c r="BY102" s="1117"/>
      <c r="BZ102" s="1117"/>
      <c r="CA102" s="1117"/>
      <c r="CB102" s="1117"/>
      <c r="CC102" s="1117"/>
      <c r="CD102" s="1117"/>
      <c r="CE102" s="1117"/>
      <c r="CF102" s="1117"/>
      <c r="CG102" s="1117"/>
      <c r="CH102" s="1117"/>
      <c r="CI102" s="1117"/>
      <c r="CJ102" s="1117"/>
      <c r="CK102" s="1117"/>
      <c r="CL102" s="1115"/>
      <c r="CM102" s="1115"/>
      <c r="CN102" s="1115"/>
      <c r="CO102" s="1115"/>
      <c r="CP102" s="1115"/>
      <c r="CQ102" s="1115"/>
      <c r="CR102" s="1115"/>
      <c r="CS102" s="1115"/>
      <c r="CT102" s="1115"/>
      <c r="CU102" s="1115"/>
      <c r="CV102" s="1115"/>
      <c r="CW102" s="1115"/>
      <c r="CX102" s="1115"/>
      <c r="CY102" s="1116"/>
      <c r="CZ102" s="1116"/>
      <c r="DA102" s="1116"/>
      <c r="DB102" s="1116"/>
      <c r="DC102" s="1116"/>
      <c r="DD102" s="1116"/>
      <c r="DE102" s="1116"/>
      <c r="DF102" s="1116"/>
      <c r="DG102" s="1116"/>
      <c r="DH102" s="1116"/>
      <c r="DI102" s="1116"/>
      <c r="DJ102" s="1116"/>
      <c r="DK102" s="1115"/>
      <c r="DL102" s="1115"/>
      <c r="DM102" s="1115"/>
      <c r="DN102" s="1115"/>
      <c r="DO102" s="1115"/>
      <c r="DP102" s="1115"/>
      <c r="DQ102" s="1115"/>
      <c r="DR102" s="1115"/>
      <c r="DS102" s="1115"/>
      <c r="DT102" s="1115"/>
      <c r="DU102" s="1115"/>
      <c r="DV102" s="1115"/>
      <c r="DW102" s="1115"/>
      <c r="DX102" s="1115"/>
      <c r="DY102" s="1115"/>
      <c r="DZ102" s="1115"/>
      <c r="EA102" s="1115"/>
      <c r="EB102" s="1115"/>
      <c r="EC102" s="1115"/>
      <c r="ED102" s="1115"/>
      <c r="EE102" s="1115"/>
      <c r="EF102" s="1115"/>
      <c r="EG102" s="1115"/>
      <c r="EH102" s="1115"/>
      <c r="EI102" s="1115"/>
      <c r="EJ102" s="1115"/>
      <c r="EK102" s="1115"/>
      <c r="EL102" s="1115"/>
      <c r="EM102" s="1115"/>
      <c r="EN102" s="1115"/>
      <c r="EO102" s="1115"/>
      <c r="EP102" s="1115"/>
      <c r="EQ102" s="1115"/>
      <c r="ER102" s="1115"/>
      <c r="ES102" s="1115"/>
      <c r="ET102" s="1115"/>
      <c r="EU102" s="1115"/>
      <c r="EV102" s="1115"/>
      <c r="EW102" s="1115"/>
      <c r="EX102" s="1115"/>
      <c r="EY102" s="1115"/>
      <c r="EZ102" s="1115"/>
      <c r="FA102" s="1115"/>
      <c r="FB102" s="1115"/>
      <c r="FC102" s="1115"/>
      <c r="FD102" s="1115"/>
      <c r="FE102" s="1115"/>
      <c r="FF102" s="1115"/>
      <c r="FG102" s="1115"/>
      <c r="FH102" s="1115"/>
      <c r="FI102" s="1115"/>
      <c r="FJ102" s="1115"/>
      <c r="FK102" s="1115"/>
      <c r="FL102" s="1115"/>
      <c r="FM102" s="1115"/>
      <c r="FN102" s="1115"/>
      <c r="FO102" s="1115"/>
      <c r="FP102" s="1115"/>
      <c r="FQ102" s="1115"/>
      <c r="FR102" s="1115"/>
      <c r="FS102" s="1115"/>
      <c r="FT102" s="1115"/>
      <c r="FU102" s="1115"/>
      <c r="FV102" s="1115"/>
      <c r="FW102" s="1115"/>
      <c r="FX102" s="1106"/>
    </row>
    <row r="103" spans="1:184" s="1924" customFormat="1" ht="12" customHeight="1">
      <c r="A103" s="838"/>
      <c r="B103" s="837"/>
      <c r="C103" s="838"/>
      <c r="D103" s="838"/>
      <c r="E103" s="838"/>
      <c r="F103" s="1118"/>
      <c r="G103" s="1712" t="s">
        <v>1121</v>
      </c>
      <c r="H103" s="1119"/>
      <c r="I103" s="1119"/>
      <c r="J103" s="1119"/>
      <c r="K103" s="1119"/>
      <c r="L103" s="1119"/>
      <c r="M103" s="1119"/>
      <c r="N103" s="1119"/>
      <c r="O103" s="1119"/>
      <c r="P103" s="1119"/>
      <c r="Q103" s="1119"/>
      <c r="R103" s="1119"/>
      <c r="S103" s="1119"/>
      <c r="T103" s="1119"/>
      <c r="U103" s="1119"/>
      <c r="V103" s="1119"/>
      <c r="W103" s="1119"/>
      <c r="X103" s="1119"/>
      <c r="Y103" s="1119"/>
      <c r="Z103" s="1119"/>
      <c r="AA103" s="1119"/>
      <c r="AB103" s="1119"/>
      <c r="AC103" s="1119"/>
      <c r="AD103" s="1119"/>
      <c r="AE103" s="1119"/>
      <c r="AF103" s="1119"/>
      <c r="AG103" s="1119"/>
      <c r="AH103" s="1119"/>
      <c r="AI103" s="1119"/>
      <c r="AJ103" s="1119"/>
      <c r="AK103" s="1119"/>
      <c r="AL103" s="1119"/>
      <c r="AM103" s="1119"/>
      <c r="AN103" s="1119"/>
      <c r="AO103" s="1119"/>
      <c r="AP103" s="1119"/>
      <c r="AQ103" s="1119"/>
      <c r="AR103" s="1119"/>
      <c r="AS103" s="1119"/>
      <c r="AT103" s="1119"/>
      <c r="AU103" s="1119"/>
      <c r="AV103" s="1119"/>
      <c r="AW103" s="1119"/>
      <c r="AX103" s="1119"/>
      <c r="AY103" s="1119"/>
      <c r="AZ103" s="1119"/>
      <c r="BA103" s="1119"/>
      <c r="BB103" s="1119"/>
      <c r="BC103" s="1119"/>
      <c r="BD103" s="1119"/>
      <c r="BE103" s="1119"/>
      <c r="BF103" s="1119"/>
      <c r="BG103" s="1119"/>
      <c r="BH103" s="1119"/>
      <c r="BI103" s="1119"/>
      <c r="BJ103" s="1119"/>
      <c r="BK103" s="1119"/>
      <c r="BL103" s="1119"/>
      <c r="BM103" s="1119"/>
      <c r="BN103" s="1119"/>
      <c r="BO103" s="1119"/>
      <c r="BP103" s="1119"/>
      <c r="BQ103" s="1119"/>
      <c r="BR103" s="1119"/>
      <c r="BS103" s="1119"/>
      <c r="BT103" s="1119"/>
      <c r="BU103" s="1119"/>
      <c r="BV103" s="1119"/>
      <c r="BW103" s="1119"/>
      <c r="BX103" s="1119"/>
      <c r="BY103" s="1119"/>
      <c r="BZ103" s="1119"/>
      <c r="CA103" s="1119"/>
      <c r="CB103" s="1119"/>
      <c r="CC103" s="1119"/>
      <c r="CD103" s="1119"/>
      <c r="CE103" s="1119"/>
      <c r="CF103" s="1119"/>
      <c r="CG103" s="1119"/>
      <c r="CH103" s="1119"/>
      <c r="CI103" s="1119"/>
      <c r="CJ103" s="1119"/>
      <c r="CK103" s="1119"/>
      <c r="CL103" s="1119"/>
      <c r="CM103" s="1119"/>
      <c r="CN103" s="1119"/>
      <c r="CO103" s="1119"/>
      <c r="CP103" s="1119"/>
      <c r="CQ103" s="1119"/>
      <c r="CR103" s="1119"/>
      <c r="CS103" s="1119"/>
      <c r="CT103" s="1119"/>
      <c r="CU103" s="1119"/>
      <c r="CV103" s="1119"/>
      <c r="CW103" s="1119"/>
      <c r="CX103" s="1119"/>
      <c r="CY103" s="1119"/>
      <c r="CZ103" s="1119"/>
      <c r="DA103" s="1119"/>
      <c r="DB103" s="1119"/>
      <c r="DC103" s="1119"/>
      <c r="DD103" s="1119"/>
      <c r="DE103" s="1119"/>
      <c r="DF103" s="1119"/>
      <c r="DG103" s="1119"/>
      <c r="DH103" s="1119"/>
      <c r="DI103" s="1119"/>
      <c r="DJ103" s="1119"/>
      <c r="DK103" s="1119"/>
      <c r="DL103" s="1119"/>
      <c r="DM103" s="1119"/>
      <c r="DN103" s="1119"/>
      <c r="DO103" s="1119"/>
      <c r="DP103" s="1119"/>
      <c r="DQ103" s="1119"/>
      <c r="DR103" s="1119"/>
      <c r="DS103" s="1119"/>
      <c r="DT103" s="1119"/>
      <c r="DU103" s="1119"/>
      <c r="DV103" s="1119"/>
      <c r="DW103" s="1119"/>
      <c r="DX103" s="1119"/>
      <c r="DY103" s="1119"/>
      <c r="DZ103" s="1119"/>
      <c r="EA103" s="1119"/>
      <c r="EB103" s="1119"/>
      <c r="EC103" s="1119"/>
      <c r="ED103" s="1119"/>
      <c r="EE103" s="1119"/>
      <c r="EF103" s="1119"/>
      <c r="EG103" s="1119"/>
      <c r="EH103" s="1119"/>
      <c r="EI103" s="1119"/>
      <c r="EJ103" s="1119"/>
      <c r="EK103" s="1119"/>
      <c r="EL103" s="1119"/>
      <c r="EM103" s="1119"/>
      <c r="EN103" s="1119"/>
      <c r="EO103" s="1119"/>
      <c r="EP103" s="1119"/>
      <c r="EQ103" s="1119"/>
      <c r="ER103" s="1119"/>
      <c r="ES103" s="1119"/>
      <c r="ET103" s="1119"/>
      <c r="EU103" s="1119"/>
      <c r="EV103" s="1119"/>
      <c r="EW103" s="1119"/>
      <c r="EX103" s="1119"/>
      <c r="EY103" s="1119"/>
      <c r="EZ103" s="1119"/>
      <c r="FA103" s="1119"/>
      <c r="FB103" s="1119"/>
      <c r="FC103" s="1119"/>
      <c r="FD103" s="1119"/>
      <c r="FE103" s="1119"/>
      <c r="FF103" s="1119"/>
      <c r="FG103" s="1119"/>
      <c r="FH103" s="1119"/>
      <c r="FI103" s="1119"/>
      <c r="FJ103" s="1119"/>
      <c r="FK103" s="1119"/>
      <c r="FL103" s="1119"/>
      <c r="FM103" s="1119"/>
      <c r="FN103" s="1119"/>
      <c r="FO103" s="1119"/>
      <c r="FP103" s="1119"/>
      <c r="FQ103" s="1119"/>
      <c r="FR103" s="1119"/>
      <c r="FS103" s="1119"/>
      <c r="FT103" s="1119"/>
      <c r="FU103" s="1119"/>
      <c r="FV103" s="1119"/>
      <c r="FW103" s="1120"/>
      <c r="FX103" s="1121"/>
      <c r="FY103" s="852"/>
      <c r="FZ103" s="852"/>
      <c r="GA103" s="852"/>
      <c r="GB103" s="852"/>
    </row>
    <row r="105" spans="1:184" s="1954" customFormat="1" ht="11.25" customHeight="1">
      <c r="A105" s="1727" t="s">
        <v>1122</v>
      </c>
    </row>
    <row r="107" spans="1:184" s="1822" customFormat="1" ht="15" customHeight="1">
      <c r="A107" s="543"/>
      <c r="B107" s="544"/>
      <c r="C107" s="544"/>
      <c r="D107" s="2345" t="s">
        <v>91</v>
      </c>
      <c r="E107" s="2235" t="s">
        <v>87</v>
      </c>
      <c r="F107" s="2236"/>
      <c r="G107" s="2237"/>
      <c r="H107" s="2231" t="str">
        <f>IF(A107="","",INDEX(DIFFERENTIATION_UNMERGE_VD,MATCH(A107,DIFFERENTIATION_ID_DIFF,0)))</f>
        <v/>
      </c>
      <c r="I107" s="2231"/>
      <c r="J107" s="2231"/>
      <c r="K107" s="2231"/>
      <c r="L107" s="2231"/>
      <c r="M107" s="2231"/>
      <c r="N107" s="2231"/>
      <c r="O107" s="2231"/>
      <c r="P107" s="2231"/>
      <c r="Q107" s="2231"/>
      <c r="R107" s="2231"/>
      <c r="S107" s="637"/>
      <c r="T107" s="634"/>
      <c r="U107" s="545"/>
      <c r="V107" s="545"/>
      <c r="W107" s="546"/>
      <c r="X107" s="546"/>
      <c r="Y107" s="546"/>
      <c r="Z107" s="546"/>
      <c r="AA107" s="547"/>
      <c r="AB107" s="548"/>
      <c r="AC107" s="2234"/>
      <c r="AD107" s="549"/>
      <c r="AE107" s="550" t="s">
        <v>18</v>
      </c>
      <c r="AF107" s="550"/>
      <c r="AG107" s="551" t="s">
        <v>571</v>
      </c>
      <c r="AH107" s="552">
        <v>3</v>
      </c>
      <c r="AI107" s="545"/>
      <c r="AJ107" s="545"/>
      <c r="AK107" s="545"/>
      <c r="AL107" s="545"/>
      <c r="AM107" s="545"/>
      <c r="AN107" s="545"/>
      <c r="AO107" s="545"/>
      <c r="AP107" s="545"/>
      <c r="AQ107" s="545"/>
      <c r="AR107" s="545"/>
      <c r="AS107" s="545"/>
      <c r="AT107" s="545"/>
      <c r="AU107" s="545"/>
      <c r="AV107" s="545"/>
      <c r="AW107" s="545"/>
      <c r="AX107" s="545"/>
      <c r="AY107" s="545"/>
      <c r="AZ107" s="545"/>
      <c r="BA107" s="545"/>
      <c r="BB107" s="545"/>
      <c r="BC107" s="545"/>
      <c r="BD107" s="545"/>
      <c r="BE107" s="545"/>
      <c r="BF107" s="545"/>
      <c r="BG107" s="545"/>
      <c r="BH107" s="545"/>
      <c r="BI107" s="545"/>
      <c r="BJ107" s="545"/>
      <c r="BK107" s="545"/>
      <c r="BL107" s="545"/>
      <c r="BM107" s="545"/>
      <c r="BN107" s="545"/>
      <c r="BO107" s="545"/>
      <c r="BP107" s="545"/>
      <c r="BQ107" s="545"/>
      <c r="BR107" s="545"/>
      <c r="BS107" s="545"/>
      <c r="BT107" s="545"/>
      <c r="BU107" s="545"/>
      <c r="BV107" s="546"/>
      <c r="BW107" s="546"/>
      <c r="BX107" s="546"/>
      <c r="BY107" s="546"/>
      <c r="BZ107" s="546"/>
      <c r="CA107" s="546"/>
      <c r="CB107" s="546"/>
      <c r="CC107" s="546"/>
      <c r="CD107" s="546"/>
      <c r="CE107" s="546"/>
    </row>
    <row r="108" spans="1:184" s="1822" customFormat="1" ht="15" customHeight="1">
      <c r="A108" s="543"/>
      <c r="B108" s="544"/>
      <c r="C108" s="544"/>
      <c r="D108" s="2346"/>
      <c r="E108" s="2235" t="s">
        <v>526</v>
      </c>
      <c r="F108" s="2236"/>
      <c r="G108" s="2237"/>
      <c r="H108" s="2231" t="str">
        <f>IF(A107="","",INDEX(DIFFERENTIATION_UNMERGE_AREA,MATCH(A107,DIFFERENTIATION_ID_DIFF,0)))</f>
        <v/>
      </c>
      <c r="I108" s="2231"/>
      <c r="J108" s="2231"/>
      <c r="K108" s="2231"/>
      <c r="L108" s="2231"/>
      <c r="M108" s="2231"/>
      <c r="N108" s="2231"/>
      <c r="O108" s="2231"/>
      <c r="P108" s="2231"/>
      <c r="Q108" s="2231"/>
      <c r="R108" s="2231"/>
      <c r="S108" s="637"/>
      <c r="T108" s="634"/>
      <c r="U108" s="545"/>
      <c r="V108" s="545"/>
      <c r="W108" s="546"/>
      <c r="X108" s="546"/>
      <c r="Y108" s="546"/>
      <c r="Z108" s="546"/>
      <c r="AA108" s="547"/>
      <c r="AB108" s="548"/>
      <c r="AC108" s="2234"/>
      <c r="AD108" s="549"/>
      <c r="AE108" s="550"/>
      <c r="AF108" s="550"/>
      <c r="AG108" s="551"/>
      <c r="AH108" s="552"/>
      <c r="AI108" s="545"/>
      <c r="AJ108" s="545"/>
      <c r="AK108" s="545"/>
      <c r="AL108" s="545"/>
      <c r="AM108" s="545"/>
      <c r="AN108" s="545"/>
      <c r="AO108" s="545"/>
      <c r="AP108" s="545"/>
      <c r="AQ108" s="545"/>
      <c r="AR108" s="545"/>
      <c r="AS108" s="545"/>
      <c r="AT108" s="545"/>
      <c r="AU108" s="545"/>
      <c r="AV108" s="545"/>
      <c r="AW108" s="545"/>
      <c r="AX108" s="545"/>
      <c r="AY108" s="545"/>
      <c r="AZ108" s="545"/>
      <c r="BA108" s="545"/>
      <c r="BB108" s="545"/>
      <c r="BC108" s="545"/>
      <c r="BD108" s="545"/>
      <c r="BE108" s="545"/>
      <c r="BF108" s="545"/>
      <c r="BG108" s="545"/>
      <c r="BH108" s="545"/>
      <c r="BI108" s="545"/>
      <c r="BJ108" s="545"/>
      <c r="BK108" s="545"/>
      <c r="BL108" s="545"/>
      <c r="BM108" s="545"/>
      <c r="BN108" s="545"/>
      <c r="BO108" s="545"/>
      <c r="BP108" s="545"/>
      <c r="BQ108" s="545"/>
      <c r="BR108" s="545"/>
      <c r="BS108" s="545"/>
      <c r="BT108" s="545"/>
      <c r="BU108" s="545"/>
      <c r="BV108" s="546"/>
      <c r="BW108" s="546"/>
      <c r="BX108" s="546"/>
      <c r="BY108" s="546"/>
      <c r="BZ108" s="546"/>
      <c r="CA108" s="546"/>
      <c r="CB108" s="546"/>
      <c r="CC108" s="546"/>
      <c r="CD108" s="546"/>
      <c r="CE108" s="546"/>
    </row>
    <row r="109" spans="1:184" s="1822" customFormat="1" ht="15" customHeight="1">
      <c r="A109" s="543"/>
      <c r="B109" s="544"/>
      <c r="C109" s="544"/>
      <c r="D109" s="2346"/>
      <c r="E109" s="2235" t="s">
        <v>527</v>
      </c>
      <c r="F109" s="2236"/>
      <c r="G109" s="2237"/>
      <c r="H109" s="2231" t="str">
        <f>IF(A107="","",INDEX(DIFFERENTIATION_UNMERGE_SYSTEM,MATCH(A107,DIFFERENTIATION_ID_DIFF,0)))</f>
        <v/>
      </c>
      <c r="I109" s="2231"/>
      <c r="J109" s="2231"/>
      <c r="K109" s="2231"/>
      <c r="L109" s="2231"/>
      <c r="M109" s="2231"/>
      <c r="N109" s="2231"/>
      <c r="O109" s="2231"/>
      <c r="P109" s="2231"/>
      <c r="Q109" s="2231"/>
      <c r="R109" s="2231"/>
      <c r="S109" s="637"/>
      <c r="T109" s="634"/>
      <c r="U109" s="545"/>
      <c r="V109" s="545"/>
      <c r="W109" s="546"/>
      <c r="X109" s="546"/>
      <c r="Y109" s="546"/>
      <c r="Z109" s="546"/>
      <c r="AA109" s="547"/>
      <c r="AB109" s="548"/>
      <c r="AC109" s="2234"/>
      <c r="AD109" s="549"/>
      <c r="AE109" s="550"/>
      <c r="AF109" s="550"/>
      <c r="AG109" s="551"/>
      <c r="AH109" s="552"/>
      <c r="AI109" s="545"/>
      <c r="AJ109" s="545"/>
      <c r="AK109" s="545"/>
      <c r="AL109" s="545"/>
      <c r="AM109" s="545"/>
      <c r="AN109" s="545"/>
      <c r="AO109" s="545"/>
      <c r="AP109" s="545"/>
      <c r="AQ109" s="545"/>
      <c r="AR109" s="545"/>
      <c r="AS109" s="545"/>
      <c r="AT109" s="545"/>
      <c r="AU109" s="545"/>
      <c r="AV109" s="545"/>
      <c r="AW109" s="545"/>
      <c r="AX109" s="545"/>
      <c r="AY109" s="545"/>
      <c r="AZ109" s="545"/>
      <c r="BA109" s="545"/>
      <c r="BB109" s="545"/>
      <c r="BC109" s="545"/>
      <c r="BD109" s="545"/>
      <c r="BE109" s="545"/>
      <c r="BF109" s="545"/>
      <c r="BG109" s="545"/>
      <c r="BH109" s="545"/>
      <c r="BI109" s="545"/>
      <c r="BJ109" s="545"/>
      <c r="BK109" s="545"/>
      <c r="BL109" s="545"/>
      <c r="BM109" s="545"/>
      <c r="BN109" s="545"/>
      <c r="BO109" s="545"/>
      <c r="BP109" s="545"/>
      <c r="BQ109" s="545"/>
      <c r="BR109" s="545"/>
      <c r="BS109" s="545"/>
      <c r="BT109" s="545"/>
      <c r="BU109" s="545"/>
      <c r="BV109" s="546"/>
      <c r="BW109" s="546"/>
      <c r="BX109" s="546"/>
      <c r="BY109" s="546"/>
      <c r="BZ109" s="546"/>
      <c r="CA109" s="546"/>
      <c r="CB109" s="546"/>
      <c r="CC109" s="546"/>
      <c r="CD109" s="546"/>
      <c r="CE109" s="546"/>
    </row>
    <row r="110" spans="1:184" s="1822" customFormat="1" ht="24.75" customHeight="1">
      <c r="A110" s="1718"/>
      <c r="B110" s="1062"/>
      <c r="C110" s="345"/>
      <c r="D110" s="2346"/>
      <c r="E110" s="2233" t="s">
        <v>572</v>
      </c>
      <c r="F110" s="2233"/>
      <c r="G110" s="2233"/>
      <c r="H110" s="2233"/>
      <c r="I110" s="2233"/>
      <c r="J110" s="2233"/>
      <c r="K110" s="2233"/>
      <c r="L110" s="2233"/>
      <c r="M110" s="2233"/>
      <c r="N110" s="2233"/>
      <c r="O110" s="2233"/>
      <c r="P110" s="2233"/>
      <c r="Q110" s="482">
        <f>SUMIF(T111:T112,"i",Q111:Q112)</f>
        <v>0</v>
      </c>
      <c r="R110" s="926"/>
      <c r="S110" s="1710" t="s">
        <v>573</v>
      </c>
      <c r="T110" s="635" t="s">
        <v>574</v>
      </c>
      <c r="U110" s="2150">
        <v>1</v>
      </c>
      <c r="V110" s="2150" t="s">
        <v>537</v>
      </c>
      <c r="W110" s="1062"/>
      <c r="X110" s="1062"/>
      <c r="Y110" s="1062"/>
      <c r="Z110" s="1062"/>
      <c r="AA110" s="1550"/>
      <c r="AB110" s="1062"/>
      <c r="AC110" s="2234"/>
      <c r="AD110" s="549"/>
      <c r="AE110" s="1062"/>
      <c r="AF110" s="1062"/>
      <c r="AG110" s="1550"/>
      <c r="AH110" s="1550"/>
      <c r="AI110" s="1550"/>
      <c r="AJ110" s="1550"/>
      <c r="AK110" s="1550"/>
      <c r="AL110" s="1550"/>
      <c r="AM110" s="1550"/>
      <c r="AN110" s="1550"/>
      <c r="AO110" s="1550"/>
      <c r="AP110" s="1550"/>
      <c r="AQ110" s="1550"/>
      <c r="AR110" s="1550"/>
      <c r="AS110" s="1550"/>
      <c r="AT110" s="1550"/>
      <c r="AU110" s="1550"/>
      <c r="AV110" s="1550"/>
      <c r="AW110" s="1550"/>
      <c r="AX110" s="1550"/>
      <c r="AY110" s="1550"/>
      <c r="AZ110" s="1550"/>
      <c r="BA110" s="1550"/>
      <c r="BB110" s="1550"/>
      <c r="BC110" s="1550"/>
      <c r="BD110" s="1550"/>
      <c r="BE110" s="1550"/>
      <c r="BF110" s="1550"/>
      <c r="BG110" s="1550"/>
      <c r="BH110" s="1550"/>
      <c r="BI110" s="1550"/>
      <c r="BJ110" s="1550"/>
      <c r="BK110" s="1550"/>
      <c r="BL110" s="1550"/>
      <c r="BM110" s="1550"/>
      <c r="BN110" s="1550"/>
      <c r="BO110" s="1550"/>
      <c r="BP110" s="1550"/>
      <c r="BQ110" s="1550"/>
      <c r="BR110" s="1550"/>
      <c r="BS110" s="1550"/>
      <c r="BT110" s="1550"/>
      <c r="BU110" s="1550"/>
      <c r="BV110" s="1062"/>
      <c r="BW110" s="1062"/>
      <c r="BX110" s="1062"/>
      <c r="BY110" s="1062"/>
      <c r="BZ110" s="1062"/>
      <c r="CA110" s="1062"/>
      <c r="CB110" s="1062"/>
      <c r="CC110" s="1062"/>
      <c r="CD110" s="1062"/>
      <c r="CE110" s="1062"/>
    </row>
    <row r="111" spans="1:184" s="1822" customFormat="1" ht="11.25" hidden="1" customHeight="1">
      <c r="A111" s="1705"/>
      <c r="B111" s="1550"/>
      <c r="C111" s="1550"/>
      <c r="D111" s="2346"/>
      <c r="E111" s="555"/>
      <c r="F111" s="555">
        <v>0</v>
      </c>
      <c r="G111" s="555"/>
      <c r="H111" s="555"/>
      <c r="I111" s="555"/>
      <c r="J111" s="555"/>
      <c r="K111" s="555"/>
      <c r="L111" s="555"/>
      <c r="M111" s="555"/>
      <c r="N111" s="555"/>
      <c r="O111" s="555"/>
      <c r="P111" s="555"/>
      <c r="Q111" s="555"/>
      <c r="R111" s="555"/>
      <c r="S111" s="556"/>
      <c r="T111" s="636"/>
      <c r="U111" s="2150"/>
      <c r="V111" s="2150"/>
      <c r="W111" s="1550"/>
      <c r="X111" s="1550"/>
      <c r="Y111" s="1550"/>
      <c r="Z111" s="1550"/>
      <c r="AA111" s="1550"/>
      <c r="AB111" s="1062"/>
      <c r="AC111" s="2234"/>
      <c r="AD111" s="549"/>
      <c r="AE111" s="1062"/>
      <c r="AF111" s="1062"/>
      <c r="AG111" s="1550"/>
      <c r="AH111" s="1550"/>
      <c r="AI111" s="1550"/>
      <c r="AJ111" s="1550"/>
      <c r="AK111" s="1550"/>
      <c r="AL111" s="1550"/>
      <c r="AM111" s="1550"/>
      <c r="AN111" s="1550"/>
      <c r="AO111" s="1550"/>
      <c r="AP111" s="1550"/>
      <c r="AQ111" s="1550"/>
      <c r="AR111" s="1550"/>
      <c r="AS111" s="1550"/>
      <c r="AT111" s="1550"/>
      <c r="AU111" s="1550"/>
      <c r="AV111" s="1550"/>
      <c r="AW111" s="1550"/>
      <c r="AX111" s="1550"/>
      <c r="AY111" s="1550"/>
      <c r="AZ111" s="1550"/>
      <c r="BA111" s="1550"/>
      <c r="BB111" s="1550"/>
      <c r="BC111" s="1550"/>
      <c r="BD111" s="1550"/>
      <c r="BE111" s="1550"/>
      <c r="BF111" s="1550"/>
      <c r="BG111" s="1550"/>
      <c r="BH111" s="1550"/>
      <c r="BI111" s="1550"/>
      <c r="BJ111" s="1550"/>
      <c r="BK111" s="1550"/>
      <c r="BL111" s="1550"/>
      <c r="BM111" s="1550"/>
      <c r="BN111" s="1550"/>
      <c r="BO111" s="1550"/>
      <c r="BP111" s="1550"/>
      <c r="BQ111" s="1550"/>
      <c r="BR111" s="1550"/>
      <c r="BS111" s="1550"/>
      <c r="BT111" s="1550"/>
      <c r="BU111" s="1550"/>
      <c r="BV111" s="1550"/>
      <c r="BW111" s="1550"/>
      <c r="BX111" s="1550"/>
      <c r="BY111" s="1550"/>
      <c r="BZ111" s="1550"/>
      <c r="CA111" s="1550"/>
      <c r="CB111" s="1550"/>
      <c r="CC111" s="1550"/>
      <c r="CD111" s="1550"/>
      <c r="CE111" s="1550"/>
    </row>
    <row r="112" spans="1:184" s="1822" customFormat="1" ht="11.25" customHeight="1">
      <c r="A112" s="1718"/>
      <c r="B112" s="1062"/>
      <c r="C112" s="345"/>
      <c r="D112" s="2346"/>
      <c r="E112" s="569" t="s">
        <v>18</v>
      </c>
      <c r="F112" s="1070" t="s">
        <v>18</v>
      </c>
      <c r="G112" s="1070" t="s">
        <v>1123</v>
      </c>
      <c r="H112" s="571" t="s">
        <v>18</v>
      </c>
      <c r="I112" s="571"/>
      <c r="J112" s="571"/>
      <c r="K112" s="571"/>
      <c r="L112" s="571"/>
      <c r="M112" s="571"/>
      <c r="N112" s="571"/>
      <c r="O112" s="571"/>
      <c r="P112" s="571"/>
      <c r="Q112" s="571"/>
      <c r="R112" s="572"/>
      <c r="S112" s="573"/>
      <c r="T112" s="636"/>
      <c r="U112" s="2150"/>
      <c r="V112" s="2150"/>
      <c r="W112" s="1062"/>
      <c r="X112" s="1062"/>
      <c r="Y112" s="1062"/>
      <c r="Z112" s="1062"/>
      <c r="AA112" s="1550"/>
      <c r="AB112" s="1062"/>
      <c r="AC112" s="2234"/>
      <c r="AD112" s="549"/>
      <c r="AE112" s="1062"/>
      <c r="AF112" s="1062"/>
      <c r="AG112" s="1550"/>
      <c r="AH112" s="1550"/>
      <c r="AI112" s="1550"/>
      <c r="AJ112" s="1550"/>
      <c r="AK112" s="1550"/>
      <c r="AL112" s="1550"/>
      <c r="AM112" s="1550"/>
      <c r="AN112" s="1550"/>
      <c r="AO112" s="1550"/>
      <c r="AP112" s="1550"/>
      <c r="AQ112" s="1550"/>
      <c r="AR112" s="1550"/>
      <c r="AS112" s="1550"/>
      <c r="AT112" s="1550"/>
      <c r="AU112" s="1550"/>
      <c r="AV112" s="1550"/>
      <c r="AW112" s="1550"/>
      <c r="AX112" s="1550"/>
      <c r="AY112" s="1550"/>
      <c r="AZ112" s="1550"/>
      <c r="BA112" s="1550"/>
      <c r="BB112" s="1550"/>
      <c r="BC112" s="1550"/>
      <c r="BD112" s="1550"/>
      <c r="BE112" s="1550"/>
      <c r="BF112" s="1550"/>
      <c r="BG112" s="1550"/>
      <c r="BH112" s="1550"/>
      <c r="BI112" s="1550"/>
      <c r="BJ112" s="1550"/>
      <c r="BK112" s="1550"/>
      <c r="BL112" s="1550"/>
      <c r="BM112" s="1550"/>
      <c r="BN112" s="1550"/>
      <c r="BO112" s="1550"/>
      <c r="BP112" s="1550"/>
      <c r="BQ112" s="1550"/>
      <c r="BR112" s="1550"/>
      <c r="BS112" s="1550"/>
      <c r="BT112" s="1550"/>
      <c r="BU112" s="1550"/>
      <c r="BV112" s="1062"/>
      <c r="BW112" s="1062"/>
      <c r="BX112" s="1062"/>
      <c r="BY112" s="1062"/>
      <c r="BZ112" s="1062"/>
      <c r="CA112" s="1062"/>
      <c r="CB112" s="1062"/>
      <c r="CC112" s="1062"/>
      <c r="CD112" s="1062"/>
      <c r="CE112" s="1062"/>
    </row>
    <row r="113" spans="1:83" s="1822" customFormat="1" ht="24.75" customHeight="1">
      <c r="A113" s="1718"/>
      <c r="B113" s="1062"/>
      <c r="C113" s="345"/>
      <c r="D113" s="2346"/>
      <c r="E113" s="2233" t="s">
        <v>575</v>
      </c>
      <c r="F113" s="2233"/>
      <c r="G113" s="2233"/>
      <c r="H113" s="2233"/>
      <c r="I113" s="2233"/>
      <c r="J113" s="2233"/>
      <c r="K113" s="2233"/>
      <c r="L113" s="2233"/>
      <c r="M113" s="2233"/>
      <c r="N113" s="2233"/>
      <c r="O113" s="2233"/>
      <c r="P113" s="2233"/>
      <c r="Q113" s="482">
        <f>SUMIF(T114:T115,"i",Q114:Q115)</f>
        <v>0</v>
      </c>
      <c r="R113" s="926"/>
      <c r="S113" s="1710" t="s">
        <v>576</v>
      </c>
      <c r="T113" s="635" t="s">
        <v>574</v>
      </c>
      <c r="U113" s="2150">
        <v>1</v>
      </c>
      <c r="V113" s="2150" t="s">
        <v>537</v>
      </c>
      <c r="W113" s="1062"/>
      <c r="X113" s="1062"/>
      <c r="Y113" s="1062"/>
      <c r="Z113" s="1062"/>
      <c r="AA113" s="1550"/>
      <c r="AB113" s="1062"/>
      <c r="AC113" s="1708"/>
      <c r="AD113" s="549"/>
      <c r="AE113" s="1062"/>
      <c r="AF113" s="1062"/>
      <c r="AG113" s="1550"/>
      <c r="AH113" s="1550"/>
      <c r="AI113" s="1550"/>
      <c r="AJ113" s="1550"/>
      <c r="AK113" s="1550"/>
      <c r="AL113" s="1550"/>
      <c r="AM113" s="1550"/>
      <c r="AN113" s="1550"/>
      <c r="AO113" s="1550"/>
      <c r="AP113" s="1550"/>
      <c r="AQ113" s="1550"/>
      <c r="AR113" s="1550"/>
      <c r="AS113" s="1550"/>
      <c r="AT113" s="1550"/>
      <c r="AU113" s="1550"/>
      <c r="AV113" s="1550"/>
      <c r="AW113" s="1550"/>
      <c r="AX113" s="1550"/>
      <c r="AY113" s="1550"/>
      <c r="AZ113" s="1550"/>
      <c r="BA113" s="1550"/>
      <c r="BB113" s="1550"/>
      <c r="BC113" s="1550"/>
      <c r="BD113" s="1550"/>
      <c r="BE113" s="1550"/>
      <c r="BF113" s="1550"/>
      <c r="BG113" s="1550"/>
      <c r="BH113" s="1550"/>
      <c r="BI113" s="1550"/>
      <c r="BJ113" s="1550"/>
      <c r="BK113" s="1550"/>
      <c r="BL113" s="1550"/>
      <c r="BM113" s="1550"/>
      <c r="BN113" s="1550"/>
      <c r="BO113" s="1550"/>
      <c r="BP113" s="1550"/>
      <c r="BQ113" s="1550"/>
      <c r="BR113" s="1550"/>
      <c r="BS113" s="1550"/>
      <c r="BT113" s="1550"/>
      <c r="BU113" s="1550"/>
      <c r="BV113" s="1062"/>
      <c r="BW113" s="1062"/>
      <c r="BX113" s="1062"/>
      <c r="BY113" s="1062"/>
      <c r="BZ113" s="1062"/>
      <c r="CA113" s="1062"/>
      <c r="CB113" s="1062"/>
      <c r="CC113" s="1062"/>
      <c r="CD113" s="1062"/>
      <c r="CE113" s="1062"/>
    </row>
    <row r="114" spans="1:83" s="1822" customFormat="1" ht="11.25" hidden="1" customHeight="1">
      <c r="A114" s="1705"/>
      <c r="B114" s="1550"/>
      <c r="C114" s="1550"/>
      <c r="D114" s="2346"/>
      <c r="E114" s="555"/>
      <c r="F114" s="555">
        <v>0</v>
      </c>
      <c r="G114" s="555"/>
      <c r="H114" s="555"/>
      <c r="I114" s="555"/>
      <c r="J114" s="555"/>
      <c r="K114" s="555"/>
      <c r="L114" s="555"/>
      <c r="M114" s="555"/>
      <c r="N114" s="555"/>
      <c r="O114" s="555"/>
      <c r="P114" s="555"/>
      <c r="Q114" s="555"/>
      <c r="R114" s="555"/>
      <c r="S114" s="556"/>
      <c r="T114" s="636"/>
      <c r="U114" s="2150"/>
      <c r="V114" s="2150"/>
      <c r="W114" s="1550"/>
      <c r="X114" s="1550"/>
      <c r="Y114" s="1550"/>
      <c r="Z114" s="1550"/>
      <c r="AA114" s="1550"/>
      <c r="AB114" s="1062"/>
      <c r="AC114" s="1708"/>
      <c r="AD114" s="549"/>
      <c r="AE114" s="1062"/>
      <c r="AF114" s="1062"/>
      <c r="AG114" s="1550"/>
      <c r="AH114" s="1550"/>
      <c r="AI114" s="1550"/>
      <c r="AJ114" s="1550"/>
      <c r="AK114" s="1550"/>
      <c r="AL114" s="1550"/>
      <c r="AM114" s="1550"/>
      <c r="AN114" s="1550"/>
      <c r="AO114" s="1550"/>
      <c r="AP114" s="1550"/>
      <c r="AQ114" s="1550"/>
      <c r="AR114" s="1550"/>
      <c r="AS114" s="1550"/>
      <c r="AT114" s="1550"/>
      <c r="AU114" s="1550"/>
      <c r="AV114" s="1550"/>
      <c r="AW114" s="1550"/>
      <c r="AX114" s="1550"/>
      <c r="AY114" s="1550"/>
      <c r="AZ114" s="1550"/>
      <c r="BA114" s="1550"/>
      <c r="BB114" s="1550"/>
      <c r="BC114" s="1550"/>
      <c r="BD114" s="1550"/>
      <c r="BE114" s="1550"/>
      <c r="BF114" s="1550"/>
      <c r="BG114" s="1550"/>
      <c r="BH114" s="1550"/>
      <c r="BI114" s="1550"/>
      <c r="BJ114" s="1550"/>
      <c r="BK114" s="1550"/>
      <c r="BL114" s="1550"/>
      <c r="BM114" s="1550"/>
      <c r="BN114" s="1550"/>
      <c r="BO114" s="1550"/>
      <c r="BP114" s="1550"/>
      <c r="BQ114" s="1550"/>
      <c r="BR114" s="1550"/>
      <c r="BS114" s="1550"/>
      <c r="BT114" s="1550"/>
      <c r="BU114" s="1550"/>
      <c r="BV114" s="1550"/>
      <c r="BW114" s="1550"/>
      <c r="BX114" s="1550"/>
      <c r="BY114" s="1550"/>
      <c r="BZ114" s="1550"/>
      <c r="CA114" s="1550"/>
      <c r="CB114" s="1550"/>
      <c r="CC114" s="1550"/>
      <c r="CD114" s="1550"/>
      <c r="CE114" s="1550"/>
    </row>
    <row r="115" spans="1:83" s="1822" customFormat="1" ht="11.25" customHeight="1">
      <c r="A115" s="1718"/>
      <c r="B115" s="1062"/>
      <c r="C115" s="345"/>
      <c r="D115" s="2347"/>
      <c r="E115" s="569" t="s">
        <v>18</v>
      </c>
      <c r="F115" s="1070" t="s">
        <v>18</v>
      </c>
      <c r="G115" s="1070" t="s">
        <v>1123</v>
      </c>
      <c r="H115" s="571" t="s">
        <v>18</v>
      </c>
      <c r="I115" s="571"/>
      <c r="J115" s="571"/>
      <c r="K115" s="571"/>
      <c r="L115" s="571"/>
      <c r="M115" s="571"/>
      <c r="N115" s="571"/>
      <c r="O115" s="571"/>
      <c r="P115" s="571"/>
      <c r="Q115" s="571"/>
      <c r="R115" s="572"/>
      <c r="S115" s="573"/>
      <c r="T115" s="636"/>
      <c r="U115" s="2150"/>
      <c r="V115" s="2150"/>
      <c r="W115" s="1062"/>
      <c r="X115" s="1062"/>
      <c r="Y115" s="1062"/>
      <c r="Z115" s="1062"/>
      <c r="AA115" s="1550"/>
      <c r="AB115" s="1062"/>
      <c r="AC115" s="1708"/>
      <c r="AD115" s="549"/>
      <c r="AE115" s="1062"/>
      <c r="AF115" s="1062"/>
      <c r="AG115" s="1550"/>
      <c r="AH115" s="1550"/>
      <c r="AI115" s="1550"/>
      <c r="AJ115" s="1550"/>
      <c r="AK115" s="1550"/>
      <c r="AL115" s="1550"/>
      <c r="AM115" s="1550"/>
      <c r="AN115" s="1550"/>
      <c r="AO115" s="1550"/>
      <c r="AP115" s="1550"/>
      <c r="AQ115" s="1550"/>
      <c r="AR115" s="1550"/>
      <c r="AS115" s="1550"/>
      <c r="AT115" s="1550"/>
      <c r="AU115" s="1550"/>
      <c r="AV115" s="1550"/>
      <c r="AW115" s="1550"/>
      <c r="AX115" s="1550"/>
      <c r="AY115" s="1550"/>
      <c r="AZ115" s="1550"/>
      <c r="BA115" s="1550"/>
      <c r="BB115" s="1550"/>
      <c r="BC115" s="1550"/>
      <c r="BD115" s="1550"/>
      <c r="BE115" s="1550"/>
      <c r="BF115" s="1550"/>
      <c r="BG115" s="1550"/>
      <c r="BH115" s="1550"/>
      <c r="BI115" s="1550"/>
      <c r="BJ115" s="1550"/>
      <c r="BK115" s="1550"/>
      <c r="BL115" s="1550"/>
      <c r="BM115" s="1550"/>
      <c r="BN115" s="1550"/>
      <c r="BO115" s="1550"/>
      <c r="BP115" s="1550"/>
      <c r="BQ115" s="1550"/>
      <c r="BR115" s="1550"/>
      <c r="BS115" s="1550"/>
      <c r="BT115" s="1550"/>
      <c r="BU115" s="1550"/>
      <c r="BV115" s="1062"/>
      <c r="BW115" s="1062"/>
      <c r="BX115" s="1062"/>
      <c r="BY115" s="1062"/>
      <c r="BZ115" s="1062"/>
      <c r="CA115" s="1062"/>
      <c r="CB115" s="1062"/>
      <c r="CC115" s="1062"/>
      <c r="CD115" s="1062"/>
      <c r="CE115" s="1062"/>
    </row>
    <row r="117" spans="1:83" s="1954" customFormat="1" ht="11.25" customHeight="1">
      <c r="A117" s="1727" t="s">
        <v>1124</v>
      </c>
    </row>
    <row r="119" spans="1:83" s="1822" customFormat="1" ht="15" customHeight="1">
      <c r="A119" s="543"/>
      <c r="B119" s="544"/>
      <c r="C119" s="544"/>
      <c r="D119" s="2345" t="s">
        <v>91</v>
      </c>
      <c r="E119" s="2235" t="s">
        <v>87</v>
      </c>
      <c r="F119" s="2236"/>
      <c r="G119" s="2237"/>
      <c r="H119" s="2231" t="str">
        <f>IF(A119="","",INDEX(DIFFERENTIATION_UNMERGE_VD,MATCH(A119,DIFFERENTIATION_ID_DIFF,0)))</f>
        <v/>
      </c>
      <c r="I119" s="2231"/>
      <c r="J119" s="2231"/>
      <c r="K119" s="2231"/>
      <c r="L119" s="2231"/>
      <c r="M119" s="2231"/>
      <c r="N119" s="2231"/>
      <c r="O119" s="2231"/>
      <c r="P119" s="2231"/>
      <c r="Q119" s="2231"/>
      <c r="R119" s="2231"/>
      <c r="S119" s="637"/>
      <c r="T119" s="634"/>
      <c r="U119" s="545"/>
      <c r="V119" s="545"/>
      <c r="W119" s="546"/>
      <c r="X119" s="546"/>
      <c r="Y119" s="546"/>
      <c r="Z119" s="546"/>
      <c r="AA119" s="547"/>
      <c r="AB119" s="548"/>
      <c r="AC119" s="2234"/>
      <c r="AD119" s="549"/>
      <c r="AE119" s="550" t="s">
        <v>18</v>
      </c>
      <c r="AF119" s="550"/>
      <c r="AG119" s="551" t="s">
        <v>571</v>
      </c>
      <c r="AH119" s="552">
        <v>3</v>
      </c>
      <c r="AI119" s="545"/>
      <c r="AJ119" s="545"/>
      <c r="AK119" s="545"/>
      <c r="AL119" s="545"/>
      <c r="AM119" s="545"/>
      <c r="AN119" s="545"/>
      <c r="AO119" s="545"/>
      <c r="AP119" s="545"/>
      <c r="AQ119" s="545"/>
      <c r="AR119" s="545"/>
      <c r="AS119" s="545"/>
      <c r="AT119" s="545"/>
      <c r="AU119" s="545"/>
      <c r="AV119" s="545"/>
      <c r="AW119" s="545"/>
      <c r="AX119" s="545"/>
      <c r="AY119" s="545"/>
      <c r="AZ119" s="545"/>
      <c r="BA119" s="545"/>
      <c r="BB119" s="545"/>
      <c r="BC119" s="545"/>
      <c r="BD119" s="545"/>
      <c r="BE119" s="545"/>
      <c r="BF119" s="545"/>
      <c r="BG119" s="545"/>
      <c r="BH119" s="545"/>
      <c r="BI119" s="545"/>
      <c r="BJ119" s="545"/>
      <c r="BK119" s="545"/>
      <c r="BL119" s="545"/>
      <c r="BM119" s="545"/>
      <c r="BN119" s="545"/>
      <c r="BO119" s="545"/>
      <c r="BP119" s="545"/>
      <c r="BQ119" s="545"/>
      <c r="BR119" s="545"/>
      <c r="BS119" s="545"/>
      <c r="BT119" s="545"/>
      <c r="BU119" s="545"/>
      <c r="BV119" s="546"/>
      <c r="BW119" s="546"/>
      <c r="BX119" s="546"/>
      <c r="BY119" s="546"/>
      <c r="BZ119" s="546"/>
      <c r="CA119" s="546"/>
      <c r="CB119" s="546"/>
      <c r="CC119" s="546"/>
      <c r="CD119" s="546"/>
      <c r="CE119" s="546"/>
    </row>
    <row r="120" spans="1:83" s="1822" customFormat="1" ht="15" customHeight="1">
      <c r="A120" s="543"/>
      <c r="B120" s="544"/>
      <c r="C120" s="544"/>
      <c r="D120" s="2346"/>
      <c r="E120" s="2235" t="s">
        <v>526</v>
      </c>
      <c r="F120" s="2236"/>
      <c r="G120" s="2237"/>
      <c r="H120" s="2231" t="str">
        <f>IF(A119="","",INDEX(DIFFERENTIATION_UNMERGE_AREA,MATCH(A119,DIFFERENTIATION_ID_DIFF,0)))</f>
        <v/>
      </c>
      <c r="I120" s="2231"/>
      <c r="J120" s="2231"/>
      <c r="K120" s="2231"/>
      <c r="L120" s="2231"/>
      <c r="M120" s="2231"/>
      <c r="N120" s="2231"/>
      <c r="O120" s="2231"/>
      <c r="P120" s="2231"/>
      <c r="Q120" s="2231"/>
      <c r="R120" s="2231"/>
      <c r="S120" s="637"/>
      <c r="T120" s="634"/>
      <c r="U120" s="545"/>
      <c r="V120" s="545"/>
      <c r="W120" s="546"/>
      <c r="X120" s="546"/>
      <c r="Y120" s="546"/>
      <c r="Z120" s="546"/>
      <c r="AA120" s="547"/>
      <c r="AB120" s="548"/>
      <c r="AC120" s="2234"/>
      <c r="AD120" s="549"/>
      <c r="AE120" s="550"/>
      <c r="AF120" s="550"/>
      <c r="AG120" s="551"/>
      <c r="AH120" s="552"/>
      <c r="AI120" s="545"/>
      <c r="AJ120" s="545"/>
      <c r="AK120" s="545"/>
      <c r="AL120" s="545"/>
      <c r="AM120" s="545"/>
      <c r="AN120" s="545"/>
      <c r="AO120" s="545"/>
      <c r="AP120" s="545"/>
      <c r="AQ120" s="545"/>
      <c r="AR120" s="545"/>
      <c r="AS120" s="545"/>
      <c r="AT120" s="545"/>
      <c r="AU120" s="545"/>
      <c r="AV120" s="545"/>
      <c r="AW120" s="545"/>
      <c r="AX120" s="545"/>
      <c r="AY120" s="545"/>
      <c r="AZ120" s="545"/>
      <c r="BA120" s="545"/>
      <c r="BB120" s="545"/>
      <c r="BC120" s="545"/>
      <c r="BD120" s="545"/>
      <c r="BE120" s="545"/>
      <c r="BF120" s="545"/>
      <c r="BG120" s="545"/>
      <c r="BH120" s="545"/>
      <c r="BI120" s="545"/>
      <c r="BJ120" s="545"/>
      <c r="BK120" s="545"/>
      <c r="BL120" s="545"/>
      <c r="BM120" s="545"/>
      <c r="BN120" s="545"/>
      <c r="BO120" s="545"/>
      <c r="BP120" s="545"/>
      <c r="BQ120" s="545"/>
      <c r="BR120" s="545"/>
      <c r="BS120" s="545"/>
      <c r="BT120" s="545"/>
      <c r="BU120" s="545"/>
      <c r="BV120" s="546"/>
      <c r="BW120" s="546"/>
      <c r="BX120" s="546"/>
      <c r="BY120" s="546"/>
      <c r="BZ120" s="546"/>
      <c r="CA120" s="546"/>
      <c r="CB120" s="546"/>
      <c r="CC120" s="546"/>
      <c r="CD120" s="546"/>
      <c r="CE120" s="546"/>
    </row>
    <row r="121" spans="1:83" s="1822" customFormat="1" ht="15" customHeight="1">
      <c r="A121" s="543"/>
      <c r="B121" s="544"/>
      <c r="C121" s="544"/>
      <c r="D121" s="2346"/>
      <c r="E121" s="2235" t="s">
        <v>527</v>
      </c>
      <c r="F121" s="2236"/>
      <c r="G121" s="2237"/>
      <c r="H121" s="2231" t="str">
        <f>IF(A119="","",INDEX(DIFFERENTIATION_UNMERGE_SYSTEM,MATCH(A119,DIFFERENTIATION_ID_DIFF,0)))</f>
        <v/>
      </c>
      <c r="I121" s="2231"/>
      <c r="J121" s="2231"/>
      <c r="K121" s="2231"/>
      <c r="L121" s="2231"/>
      <c r="M121" s="2231"/>
      <c r="N121" s="2231"/>
      <c r="O121" s="2231"/>
      <c r="P121" s="2231"/>
      <c r="Q121" s="2231"/>
      <c r="R121" s="2231"/>
      <c r="S121" s="637"/>
      <c r="T121" s="634"/>
      <c r="U121" s="545"/>
      <c r="V121" s="545"/>
      <c r="W121" s="546"/>
      <c r="X121" s="546"/>
      <c r="Y121" s="546"/>
      <c r="Z121" s="546"/>
      <c r="AA121" s="547"/>
      <c r="AB121" s="548"/>
      <c r="AC121" s="2234"/>
      <c r="AD121" s="549"/>
      <c r="AE121" s="550"/>
      <c r="AF121" s="550"/>
      <c r="AG121" s="551"/>
      <c r="AH121" s="552"/>
      <c r="AI121" s="545"/>
      <c r="AJ121" s="545"/>
      <c r="AK121" s="545"/>
      <c r="AL121" s="545"/>
      <c r="AM121" s="545"/>
      <c r="AN121" s="545"/>
      <c r="AO121" s="545"/>
      <c r="AP121" s="545"/>
      <c r="AQ121" s="545"/>
      <c r="AR121" s="545"/>
      <c r="AS121" s="545"/>
      <c r="AT121" s="545"/>
      <c r="AU121" s="545"/>
      <c r="AV121" s="545"/>
      <c r="AW121" s="545"/>
      <c r="AX121" s="545"/>
      <c r="AY121" s="545"/>
      <c r="AZ121" s="545"/>
      <c r="BA121" s="545"/>
      <c r="BB121" s="545"/>
      <c r="BC121" s="545"/>
      <c r="BD121" s="545"/>
      <c r="BE121" s="545"/>
      <c r="BF121" s="545"/>
      <c r="BG121" s="545"/>
      <c r="BH121" s="545"/>
      <c r="BI121" s="545"/>
      <c r="BJ121" s="545"/>
      <c r="BK121" s="545"/>
      <c r="BL121" s="545"/>
      <c r="BM121" s="545"/>
      <c r="BN121" s="545"/>
      <c r="BO121" s="545"/>
      <c r="BP121" s="545"/>
      <c r="BQ121" s="545"/>
      <c r="BR121" s="545"/>
      <c r="BS121" s="545"/>
      <c r="BT121" s="545"/>
      <c r="BU121" s="545"/>
      <c r="BV121" s="546"/>
      <c r="BW121" s="546"/>
      <c r="BX121" s="546"/>
      <c r="BY121" s="546"/>
      <c r="BZ121" s="546"/>
      <c r="CA121" s="546"/>
      <c r="CB121" s="546"/>
      <c r="CC121" s="546"/>
      <c r="CD121" s="546"/>
      <c r="CE121" s="546"/>
    </row>
    <row r="122" spans="1:83" s="1822" customFormat="1" ht="24.75" customHeight="1">
      <c r="A122" s="1718"/>
      <c r="B122" s="1062"/>
      <c r="C122" s="345"/>
      <c r="D122" s="2346"/>
      <c r="E122" s="2233" t="s">
        <v>572</v>
      </c>
      <c r="F122" s="2233"/>
      <c r="G122" s="2233"/>
      <c r="H122" s="2233"/>
      <c r="I122" s="2233"/>
      <c r="J122" s="2233"/>
      <c r="K122" s="2233"/>
      <c r="L122" s="2233"/>
      <c r="M122" s="2233"/>
      <c r="N122" s="2233"/>
      <c r="O122" s="2233"/>
      <c r="P122" s="2233"/>
      <c r="Q122" s="482">
        <f>SUMIF(T123:T124,"i",Q123:Q124)</f>
        <v>0</v>
      </c>
      <c r="R122" s="926"/>
      <c r="S122" s="1710" t="s">
        <v>573</v>
      </c>
      <c r="T122" s="635" t="s">
        <v>574</v>
      </c>
      <c r="U122" s="2150">
        <v>1</v>
      </c>
      <c r="V122" s="2150" t="s">
        <v>537</v>
      </c>
      <c r="W122" s="1062"/>
      <c r="X122" s="1062"/>
      <c r="Y122" s="1062"/>
      <c r="Z122" s="1062"/>
      <c r="AA122" s="1550"/>
      <c r="AB122" s="1062"/>
      <c r="AC122" s="2234"/>
      <c r="AD122" s="549"/>
      <c r="AE122" s="1062"/>
      <c r="AF122" s="1062"/>
      <c r="AG122" s="1550"/>
      <c r="AH122" s="1550"/>
      <c r="AI122" s="1550"/>
      <c r="AJ122" s="1550"/>
      <c r="AK122" s="1550"/>
      <c r="AL122" s="1550"/>
      <c r="AM122" s="1550"/>
      <c r="AN122" s="1550"/>
      <c r="AO122" s="1550"/>
      <c r="AP122" s="1550"/>
      <c r="AQ122" s="1550"/>
      <c r="AR122" s="1550"/>
      <c r="AS122" s="1550"/>
      <c r="AT122" s="1550"/>
      <c r="AU122" s="1550"/>
      <c r="AV122" s="1550"/>
      <c r="AW122" s="1550"/>
      <c r="AX122" s="1550"/>
      <c r="AY122" s="1550"/>
      <c r="AZ122" s="1550"/>
      <c r="BA122" s="1550"/>
      <c r="BB122" s="1550"/>
      <c r="BC122" s="1550"/>
      <c r="BD122" s="1550"/>
      <c r="BE122" s="1550"/>
      <c r="BF122" s="1550"/>
      <c r="BG122" s="1550"/>
      <c r="BH122" s="1550"/>
      <c r="BI122" s="1550"/>
      <c r="BJ122" s="1550"/>
      <c r="BK122" s="1550"/>
      <c r="BL122" s="1550"/>
      <c r="BM122" s="1550"/>
      <c r="BN122" s="1550"/>
      <c r="BO122" s="1550"/>
      <c r="BP122" s="1550"/>
      <c r="BQ122" s="1550"/>
      <c r="BR122" s="1550"/>
      <c r="BS122" s="1550"/>
      <c r="BT122" s="1550"/>
      <c r="BU122" s="1550"/>
      <c r="BV122" s="1062"/>
      <c r="BW122" s="1062"/>
      <c r="BX122" s="1062"/>
      <c r="BY122" s="1062"/>
      <c r="BZ122" s="1062"/>
      <c r="CA122" s="1062"/>
      <c r="CB122" s="1062"/>
      <c r="CC122" s="1062"/>
      <c r="CD122" s="1062"/>
      <c r="CE122" s="1062"/>
    </row>
    <row r="123" spans="1:83" s="1822" customFormat="1" ht="11.25" hidden="1" customHeight="1">
      <c r="A123" s="1705"/>
      <c r="B123" s="1550"/>
      <c r="C123" s="1550"/>
      <c r="D123" s="2346"/>
      <c r="E123" s="555"/>
      <c r="F123" s="555">
        <v>0</v>
      </c>
      <c r="G123" s="555"/>
      <c r="H123" s="555"/>
      <c r="I123" s="555"/>
      <c r="J123" s="555"/>
      <c r="K123" s="555"/>
      <c r="L123" s="555"/>
      <c r="M123" s="555"/>
      <c r="N123" s="555"/>
      <c r="O123" s="555"/>
      <c r="P123" s="555"/>
      <c r="Q123" s="555"/>
      <c r="R123" s="555"/>
      <c r="S123" s="556"/>
      <c r="T123" s="636"/>
      <c r="U123" s="2150"/>
      <c r="V123" s="2150"/>
      <c r="W123" s="1550"/>
      <c r="X123" s="1550"/>
      <c r="Y123" s="1550"/>
      <c r="Z123" s="1550"/>
      <c r="AA123" s="1550"/>
      <c r="AB123" s="1062"/>
      <c r="AC123" s="2234"/>
      <c r="AD123" s="549"/>
      <c r="AE123" s="1062"/>
      <c r="AF123" s="1062"/>
      <c r="AG123" s="1550"/>
      <c r="AH123" s="1550"/>
      <c r="AI123" s="1550"/>
      <c r="AJ123" s="1550"/>
      <c r="AK123" s="1550"/>
      <c r="AL123" s="1550"/>
      <c r="AM123" s="1550"/>
      <c r="AN123" s="1550"/>
      <c r="AO123" s="1550"/>
      <c r="AP123" s="1550"/>
      <c r="AQ123" s="1550"/>
      <c r="AR123" s="1550"/>
      <c r="AS123" s="1550"/>
      <c r="AT123" s="1550"/>
      <c r="AU123" s="1550"/>
      <c r="AV123" s="1550"/>
      <c r="AW123" s="1550"/>
      <c r="AX123" s="1550"/>
      <c r="AY123" s="1550"/>
      <c r="AZ123" s="1550"/>
      <c r="BA123" s="1550"/>
      <c r="BB123" s="1550"/>
      <c r="BC123" s="1550"/>
      <c r="BD123" s="1550"/>
      <c r="BE123" s="1550"/>
      <c r="BF123" s="1550"/>
      <c r="BG123" s="1550"/>
      <c r="BH123" s="1550"/>
      <c r="BI123" s="1550"/>
      <c r="BJ123" s="1550"/>
      <c r="BK123" s="1550"/>
      <c r="BL123" s="1550"/>
      <c r="BM123" s="1550"/>
      <c r="BN123" s="1550"/>
      <c r="BO123" s="1550"/>
      <c r="BP123" s="1550"/>
      <c r="BQ123" s="1550"/>
      <c r="BR123" s="1550"/>
      <c r="BS123" s="1550"/>
      <c r="BT123" s="1550"/>
      <c r="BU123" s="1550"/>
      <c r="BV123" s="1550"/>
      <c r="BW123" s="1550"/>
      <c r="BX123" s="1550"/>
      <c r="BY123" s="1550"/>
      <c r="BZ123" s="1550"/>
      <c r="CA123" s="1550"/>
      <c r="CB123" s="1550"/>
      <c r="CC123" s="1550"/>
      <c r="CD123" s="1550"/>
      <c r="CE123" s="1550"/>
    </row>
    <row r="124" spans="1:83" s="1822" customFormat="1" ht="11.25" customHeight="1">
      <c r="A124" s="1718"/>
      <c r="B124" s="1062"/>
      <c r="C124" s="345"/>
      <c r="D124" s="2346"/>
      <c r="E124" s="569" t="s">
        <v>18</v>
      </c>
      <c r="F124" s="1070" t="s">
        <v>18</v>
      </c>
      <c r="G124" s="1070" t="s">
        <v>1123</v>
      </c>
      <c r="H124" s="571" t="s">
        <v>18</v>
      </c>
      <c r="I124" s="571"/>
      <c r="J124" s="571"/>
      <c r="K124" s="571"/>
      <c r="L124" s="571"/>
      <c r="M124" s="571"/>
      <c r="N124" s="571"/>
      <c r="O124" s="571"/>
      <c r="P124" s="571"/>
      <c r="Q124" s="571"/>
      <c r="R124" s="572"/>
      <c r="S124" s="573"/>
      <c r="T124" s="636"/>
      <c r="U124" s="2150"/>
      <c r="V124" s="2150"/>
      <c r="W124" s="1062"/>
      <c r="X124" s="1062"/>
      <c r="Y124" s="1062"/>
      <c r="Z124" s="1062"/>
      <c r="AA124" s="1550"/>
      <c r="AB124" s="1062"/>
      <c r="AC124" s="2234"/>
      <c r="AD124" s="549"/>
      <c r="AE124" s="1062"/>
      <c r="AF124" s="1062"/>
      <c r="AG124" s="1550"/>
      <c r="AH124" s="1550"/>
      <c r="AI124" s="1550"/>
      <c r="AJ124" s="1550"/>
      <c r="AK124" s="1550"/>
      <c r="AL124" s="1550"/>
      <c r="AM124" s="1550"/>
      <c r="AN124" s="1550"/>
      <c r="AO124" s="1550"/>
      <c r="AP124" s="1550"/>
      <c r="AQ124" s="1550"/>
      <c r="AR124" s="1550"/>
      <c r="AS124" s="1550"/>
      <c r="AT124" s="1550"/>
      <c r="AU124" s="1550"/>
      <c r="AV124" s="1550"/>
      <c r="AW124" s="1550"/>
      <c r="AX124" s="1550"/>
      <c r="AY124" s="1550"/>
      <c r="AZ124" s="1550"/>
      <c r="BA124" s="1550"/>
      <c r="BB124" s="1550"/>
      <c r="BC124" s="1550"/>
      <c r="BD124" s="1550"/>
      <c r="BE124" s="1550"/>
      <c r="BF124" s="1550"/>
      <c r="BG124" s="1550"/>
      <c r="BH124" s="1550"/>
      <c r="BI124" s="1550"/>
      <c r="BJ124" s="1550"/>
      <c r="BK124" s="1550"/>
      <c r="BL124" s="1550"/>
      <c r="BM124" s="1550"/>
      <c r="BN124" s="1550"/>
      <c r="BO124" s="1550"/>
      <c r="BP124" s="1550"/>
      <c r="BQ124" s="1550"/>
      <c r="BR124" s="1550"/>
      <c r="BS124" s="1550"/>
      <c r="BT124" s="1550"/>
      <c r="BU124" s="1550"/>
      <c r="BV124" s="1062"/>
      <c r="BW124" s="1062"/>
      <c r="BX124" s="1062"/>
      <c r="BY124" s="1062"/>
      <c r="BZ124" s="1062"/>
      <c r="CA124" s="1062"/>
      <c r="CB124" s="1062"/>
      <c r="CC124" s="1062"/>
      <c r="CD124" s="1062"/>
      <c r="CE124" s="1062"/>
    </row>
    <row r="125" spans="1:83" s="1823" customFormat="1" ht="5.25" hidden="1" customHeight="1">
      <c r="A125" s="1705"/>
      <c r="B125" s="1550"/>
      <c r="C125" s="1550"/>
      <c r="D125" s="2346"/>
      <c r="E125" s="948"/>
      <c r="F125" s="948"/>
      <c r="G125" s="948"/>
      <c r="H125" s="948"/>
      <c r="I125" s="948"/>
      <c r="J125" s="948"/>
      <c r="K125" s="948"/>
      <c r="L125" s="948"/>
      <c r="M125" s="948"/>
      <c r="N125" s="948"/>
      <c r="O125" s="948"/>
      <c r="P125" s="948"/>
      <c r="Q125" s="949"/>
      <c r="R125" s="950"/>
      <c r="S125" s="951"/>
      <c r="T125" s="635" t="s">
        <v>574</v>
      </c>
      <c r="U125" s="2150">
        <v>1</v>
      </c>
      <c r="V125" s="2150" t="s">
        <v>537</v>
      </c>
      <c r="W125" s="1550"/>
      <c r="X125" s="1550"/>
      <c r="Y125" s="1550"/>
      <c r="Z125" s="1550"/>
      <c r="AA125" s="1550"/>
      <c r="AB125" s="1550"/>
      <c r="AC125" s="946"/>
      <c r="AD125" s="947"/>
      <c r="AE125" s="1550"/>
      <c r="AF125" s="1550"/>
      <c r="AG125" s="1550"/>
      <c r="AH125" s="1550"/>
      <c r="AI125" s="1550"/>
      <c r="AJ125" s="1550"/>
      <c r="AK125" s="1550"/>
      <c r="AL125" s="1550"/>
      <c r="AM125" s="1550"/>
      <c r="AN125" s="1550"/>
      <c r="AO125" s="1550"/>
      <c r="AP125" s="1550"/>
      <c r="AQ125" s="1550"/>
      <c r="AR125" s="1550"/>
      <c r="AS125" s="1550"/>
      <c r="AT125" s="1550"/>
      <c r="AU125" s="1550"/>
      <c r="AV125" s="1550"/>
      <c r="AW125" s="1550"/>
      <c r="AX125" s="1550"/>
      <c r="AY125" s="1550"/>
      <c r="AZ125" s="1550"/>
      <c r="BA125" s="1550"/>
      <c r="BB125" s="1550"/>
      <c r="BC125" s="1550"/>
      <c r="BD125" s="1550"/>
      <c r="BE125" s="1550"/>
      <c r="BF125" s="1550"/>
      <c r="BG125" s="1550"/>
      <c r="BH125" s="1550"/>
      <c r="BI125" s="1550"/>
      <c r="BJ125" s="1550"/>
      <c r="BK125" s="1550"/>
      <c r="BL125" s="1550"/>
      <c r="BM125" s="1550"/>
      <c r="BN125" s="1550"/>
      <c r="BO125" s="1550"/>
      <c r="BP125" s="1550"/>
      <c r="BQ125" s="1550"/>
      <c r="BR125" s="1550"/>
      <c r="BS125" s="1550"/>
      <c r="BT125" s="1550"/>
      <c r="BU125" s="1550"/>
      <c r="BV125" s="1550"/>
      <c r="BW125" s="1550"/>
      <c r="BX125" s="1550"/>
      <c r="BY125" s="1550"/>
      <c r="BZ125" s="1550"/>
      <c r="CA125" s="1550"/>
      <c r="CB125" s="1550"/>
      <c r="CC125" s="1550"/>
      <c r="CD125" s="1550"/>
      <c r="CE125" s="1550"/>
    </row>
    <row r="126" spans="1:83" s="1823" customFormat="1" ht="5.25" hidden="1" customHeight="1">
      <c r="A126" s="1705"/>
      <c r="B126" s="1550"/>
      <c r="C126" s="1550"/>
      <c r="D126" s="2346"/>
      <c r="E126" s="555"/>
      <c r="F126" s="555"/>
      <c r="G126" s="555"/>
      <c r="H126" s="555"/>
      <c r="I126" s="555"/>
      <c r="J126" s="555"/>
      <c r="K126" s="555"/>
      <c r="L126" s="555"/>
      <c r="M126" s="555"/>
      <c r="N126" s="555"/>
      <c r="O126" s="555"/>
      <c r="P126" s="555"/>
      <c r="Q126" s="555"/>
      <c r="R126" s="555"/>
      <c r="S126" s="556"/>
      <c r="T126" s="636"/>
      <c r="U126" s="2150"/>
      <c r="V126" s="2150"/>
      <c r="W126" s="1550"/>
      <c r="X126" s="1550"/>
      <c r="Y126" s="1550"/>
      <c r="Z126" s="1550"/>
      <c r="AA126" s="1550"/>
      <c r="AB126" s="1550"/>
      <c r="AC126" s="946"/>
      <c r="AD126" s="947"/>
      <c r="AE126" s="1550"/>
      <c r="AF126" s="1550"/>
      <c r="AG126" s="1550"/>
      <c r="AH126" s="1550"/>
      <c r="AI126" s="1550"/>
      <c r="AJ126" s="1550"/>
      <c r="AK126" s="1550"/>
      <c r="AL126" s="1550"/>
      <c r="AM126" s="1550"/>
      <c r="AN126" s="1550"/>
      <c r="AO126" s="1550"/>
      <c r="AP126" s="1550"/>
      <c r="AQ126" s="1550"/>
      <c r="AR126" s="1550"/>
      <c r="AS126" s="1550"/>
      <c r="AT126" s="1550"/>
      <c r="AU126" s="1550"/>
      <c r="AV126" s="1550"/>
      <c r="AW126" s="1550"/>
      <c r="AX126" s="1550"/>
      <c r="AY126" s="1550"/>
      <c r="AZ126" s="1550"/>
      <c r="BA126" s="1550"/>
      <c r="BB126" s="1550"/>
      <c r="BC126" s="1550"/>
      <c r="BD126" s="1550"/>
      <c r="BE126" s="1550"/>
      <c r="BF126" s="1550"/>
      <c r="BG126" s="1550"/>
      <c r="BH126" s="1550"/>
      <c r="BI126" s="1550"/>
      <c r="BJ126" s="1550"/>
      <c r="BK126" s="1550"/>
      <c r="BL126" s="1550"/>
      <c r="BM126" s="1550"/>
      <c r="BN126" s="1550"/>
      <c r="BO126" s="1550"/>
      <c r="BP126" s="1550"/>
      <c r="BQ126" s="1550"/>
      <c r="BR126" s="1550"/>
      <c r="BS126" s="1550"/>
      <c r="BT126" s="1550"/>
      <c r="BU126" s="1550"/>
      <c r="BV126" s="1550"/>
      <c r="BW126" s="1550"/>
      <c r="BX126" s="1550"/>
      <c r="BY126" s="1550"/>
      <c r="BZ126" s="1550"/>
      <c r="CA126" s="1550"/>
      <c r="CB126" s="1550"/>
      <c r="CC126" s="1550"/>
      <c r="CD126" s="1550"/>
      <c r="CE126" s="1550"/>
    </row>
    <row r="127" spans="1:83" s="1823" customFormat="1" ht="5.25" hidden="1" customHeight="1">
      <c r="A127" s="1705"/>
      <c r="B127" s="1550"/>
      <c r="C127" s="1550"/>
      <c r="D127" s="2347"/>
      <c r="E127" s="952"/>
      <c r="F127" s="953"/>
      <c r="G127" s="953"/>
      <c r="H127" s="954"/>
      <c r="I127" s="954"/>
      <c r="J127" s="954"/>
      <c r="K127" s="954"/>
      <c r="L127" s="954"/>
      <c r="M127" s="954"/>
      <c r="N127" s="954"/>
      <c r="O127" s="954"/>
      <c r="P127" s="954"/>
      <c r="Q127" s="954"/>
      <c r="R127" s="857"/>
      <c r="S127" s="955"/>
      <c r="T127" s="636"/>
      <c r="U127" s="2150"/>
      <c r="V127" s="2150"/>
      <c r="W127" s="1550"/>
      <c r="X127" s="1550"/>
      <c r="Y127" s="1550"/>
      <c r="Z127" s="1550"/>
      <c r="AA127" s="1550"/>
      <c r="AB127" s="1550"/>
      <c r="AC127" s="946"/>
      <c r="AD127" s="947"/>
      <c r="AE127" s="1550"/>
      <c r="AF127" s="1550"/>
      <c r="AG127" s="1550"/>
      <c r="AH127" s="1550"/>
      <c r="AI127" s="1550"/>
      <c r="AJ127" s="1550"/>
      <c r="AK127" s="1550"/>
      <c r="AL127" s="1550"/>
      <c r="AM127" s="1550"/>
      <c r="AN127" s="1550"/>
      <c r="AO127" s="1550"/>
      <c r="AP127" s="1550"/>
      <c r="AQ127" s="1550"/>
      <c r="AR127" s="1550"/>
      <c r="AS127" s="1550"/>
      <c r="AT127" s="1550"/>
      <c r="AU127" s="1550"/>
      <c r="AV127" s="1550"/>
      <c r="AW127" s="1550"/>
      <c r="AX127" s="1550"/>
      <c r="AY127" s="1550"/>
      <c r="AZ127" s="1550"/>
      <c r="BA127" s="1550"/>
      <c r="BB127" s="1550"/>
      <c r="BC127" s="1550"/>
      <c r="BD127" s="1550"/>
      <c r="BE127" s="1550"/>
      <c r="BF127" s="1550"/>
      <c r="BG127" s="1550"/>
      <c r="BH127" s="1550"/>
      <c r="BI127" s="1550"/>
      <c r="BJ127" s="1550"/>
      <c r="BK127" s="1550"/>
      <c r="BL127" s="1550"/>
      <c r="BM127" s="1550"/>
      <c r="BN127" s="1550"/>
      <c r="BO127" s="1550"/>
      <c r="BP127" s="1550"/>
      <c r="BQ127" s="1550"/>
      <c r="BR127" s="1550"/>
      <c r="BS127" s="1550"/>
      <c r="BT127" s="1550"/>
      <c r="BU127" s="1550"/>
      <c r="BV127" s="1550"/>
      <c r="BW127" s="1550"/>
      <c r="BX127" s="1550"/>
      <c r="BY127" s="1550"/>
      <c r="BZ127" s="1550"/>
      <c r="CA127" s="1550"/>
      <c r="CB127" s="1550"/>
      <c r="CC127" s="1550"/>
      <c r="CD127" s="1550"/>
      <c r="CE127" s="1550"/>
    </row>
    <row r="128" spans="1:83" ht="17.25" customHeight="1">
      <c r="D128" s="1746"/>
    </row>
    <row r="129" spans="1:29" s="1954" customFormat="1" ht="11.25" customHeight="1">
      <c r="A129" s="1727" t="s">
        <v>1125</v>
      </c>
    </row>
    <row r="131" spans="1:29" s="1822" customFormat="1" ht="45" customHeight="1">
      <c r="A131" s="1718"/>
      <c r="B131" s="1062"/>
      <c r="C131" s="345"/>
      <c r="D131" s="23"/>
      <c r="E131" s="2355"/>
      <c r="F131" s="2030" t="s">
        <v>91</v>
      </c>
      <c r="G131" s="2358" t="s">
        <v>18</v>
      </c>
      <c r="H131" s="206"/>
      <c r="I131" s="557" t="s">
        <v>91</v>
      </c>
      <c r="J131" s="1719" t="s">
        <v>1126</v>
      </c>
      <c r="K131" s="558" t="s">
        <v>508</v>
      </c>
      <c r="L131" s="2113" t="s">
        <v>508</v>
      </c>
      <c r="M131" s="2074"/>
      <c r="N131" s="558" t="s">
        <v>508</v>
      </c>
      <c r="O131" s="558" t="s">
        <v>508</v>
      </c>
      <c r="P131" s="558" t="s">
        <v>508</v>
      </c>
      <c r="Q131" s="559">
        <f>SUM(Q132:Q134)</f>
        <v>0</v>
      </c>
      <c r="R131" s="559">
        <f>IF(R128=0,0,(Q128/R128)*100)</f>
        <v>0</v>
      </c>
      <c r="S131" s="2086"/>
      <c r="T131" s="635" t="s">
        <v>574</v>
      </c>
      <c r="U131" s="23"/>
      <c r="V131" s="23"/>
      <c r="AC131" s="23"/>
    </row>
    <row r="132" spans="1:29" s="1822" customFormat="1" ht="11.25" customHeight="1">
      <c r="A132" s="1718"/>
      <c r="B132" s="1062"/>
      <c r="C132" s="345"/>
      <c r="D132" s="23"/>
      <c r="E132" s="2356"/>
      <c r="F132" s="2030"/>
      <c r="G132" s="2358"/>
      <c r="H132" s="2019"/>
      <c r="I132" s="2289" t="s">
        <v>898</v>
      </c>
      <c r="J132" s="2353"/>
      <c r="K132" s="2354"/>
      <c r="L132" s="560"/>
      <c r="M132" s="561" t="s">
        <v>91</v>
      </c>
      <c r="N132" s="1707"/>
      <c r="O132" s="562"/>
      <c r="P132" s="563"/>
      <c r="Q132" s="562"/>
      <c r="R132" s="564">
        <v>0</v>
      </c>
      <c r="S132" s="2086"/>
      <c r="T132" s="635"/>
      <c r="U132" s="23"/>
      <c r="V132" s="23"/>
      <c r="AC132" s="23"/>
    </row>
    <row r="133" spans="1:29" s="1822" customFormat="1" ht="11.25" customHeight="1">
      <c r="A133" s="1718"/>
      <c r="B133" s="1062"/>
      <c r="C133" s="345"/>
      <c r="D133" s="23"/>
      <c r="E133" s="2356"/>
      <c r="F133" s="2030"/>
      <c r="G133" s="2358"/>
      <c r="H133" s="2019"/>
      <c r="I133" s="2289"/>
      <c r="J133" s="2353"/>
      <c r="K133" s="2342"/>
      <c r="L133" s="565"/>
      <c r="M133" s="566"/>
      <c r="N133" s="567" t="s">
        <v>1127</v>
      </c>
      <c r="O133" s="567"/>
      <c r="P133" s="567"/>
      <c r="Q133" s="567"/>
      <c r="R133" s="568"/>
      <c r="S133" s="2086"/>
      <c r="T133" s="635"/>
      <c r="U133" s="23"/>
      <c r="V133" s="23"/>
      <c r="AC133" s="23"/>
    </row>
    <row r="134" spans="1:29" s="1822" customFormat="1" ht="11.25" customHeight="1">
      <c r="A134" s="1718"/>
      <c r="B134" s="1062"/>
      <c r="C134" s="345"/>
      <c r="D134" s="23"/>
      <c r="E134" s="2357"/>
      <c r="F134" s="2030"/>
      <c r="G134" s="2359"/>
      <c r="H134" s="565" t="s">
        <v>18</v>
      </c>
      <c r="I134" s="566"/>
      <c r="J134" s="567" t="s">
        <v>1128</v>
      </c>
      <c r="K134" s="567"/>
      <c r="L134" s="567"/>
      <c r="M134" s="567"/>
      <c r="N134" s="567"/>
      <c r="O134" s="567"/>
      <c r="P134" s="567"/>
      <c r="Q134" s="567"/>
      <c r="R134" s="568"/>
      <c r="S134" s="2086"/>
      <c r="T134" s="635"/>
      <c r="U134" s="23"/>
      <c r="V134" s="23"/>
      <c r="AC134" s="23"/>
    </row>
    <row r="139" spans="1:29" s="1822" customFormat="1" ht="11.25" customHeight="1">
      <c r="A139" s="1718"/>
      <c r="B139" s="1062"/>
      <c r="C139" s="345"/>
      <c r="D139" s="23"/>
      <c r="E139" s="1740"/>
      <c r="F139" s="1740"/>
      <c r="G139" s="1740"/>
      <c r="H139" s="2019"/>
      <c r="I139" s="2289" t="s">
        <v>898</v>
      </c>
      <c r="J139" s="2353"/>
      <c r="K139" s="2354"/>
      <c r="L139" s="560"/>
      <c r="M139" s="561" t="s">
        <v>91</v>
      </c>
      <c r="N139" s="1707"/>
      <c r="O139" s="562"/>
      <c r="P139" s="563"/>
      <c r="Q139" s="562"/>
      <c r="R139" s="564">
        <v>0</v>
      </c>
      <c r="S139" s="23"/>
      <c r="T139" s="635"/>
      <c r="U139" s="23"/>
      <c r="V139" s="23"/>
      <c r="AC139" s="23"/>
    </row>
    <row r="140" spans="1:29" s="1822" customFormat="1" ht="11.25" customHeight="1">
      <c r="A140" s="1718"/>
      <c r="B140" s="1062"/>
      <c r="C140" s="345"/>
      <c r="D140" s="23"/>
      <c r="E140" s="1740"/>
      <c r="F140" s="1740"/>
      <c r="G140" s="1740"/>
      <c r="H140" s="2019"/>
      <c r="I140" s="2289"/>
      <c r="J140" s="2353"/>
      <c r="K140" s="2342"/>
      <c r="L140" s="565"/>
      <c r="M140" s="566"/>
      <c r="N140" s="567" t="s">
        <v>1127</v>
      </c>
      <c r="O140" s="567"/>
      <c r="P140" s="567"/>
      <c r="Q140" s="567"/>
      <c r="R140" s="568"/>
      <c r="S140" s="23"/>
      <c r="T140" s="635"/>
      <c r="U140" s="23"/>
      <c r="V140" s="23"/>
      <c r="AC140" s="23"/>
    </row>
    <row r="142" spans="1:29" s="1822" customFormat="1" ht="11.25" customHeight="1">
      <c r="A142" s="1718"/>
      <c r="B142" s="1062"/>
      <c r="C142" s="345"/>
      <c r="D142" s="23"/>
      <c r="E142" s="1747"/>
      <c r="F142" s="1745"/>
      <c r="G142" s="1745"/>
      <c r="H142" s="1748"/>
      <c r="I142" s="1740"/>
      <c r="J142" s="1741"/>
      <c r="K142" s="1741"/>
      <c r="L142" s="560"/>
      <c r="M142" s="561" t="s">
        <v>91</v>
      </c>
      <c r="N142" s="1707"/>
      <c r="O142" s="562"/>
      <c r="P142" s="563"/>
      <c r="Q142" s="562"/>
      <c r="R142" s="564">
        <v>0</v>
      </c>
      <c r="S142" s="23"/>
      <c r="T142" s="635"/>
      <c r="U142" s="23"/>
      <c r="V142" s="23"/>
      <c r="AC142" s="23"/>
    </row>
    <row r="144" spans="1:29" s="1954" customFormat="1" ht="17.25" customHeight="1">
      <c r="A144" s="1727" t="s">
        <v>1129</v>
      </c>
    </row>
    <row r="145" spans="1:43" ht="17.25" customHeight="1">
      <c r="G145" s="1749"/>
      <c r="H145" s="1749"/>
      <c r="I145" s="1749"/>
      <c r="M145" s="1745"/>
    </row>
    <row r="146" spans="1:43" s="1958" customFormat="1" ht="17.25" customHeight="1">
      <c r="A146" s="1750"/>
      <c r="C146" s="1752"/>
      <c r="D146" s="2339"/>
      <c r="E146" s="2041"/>
      <c r="F146" s="2043"/>
      <c r="G146" s="2343"/>
      <c r="H146" s="2339"/>
      <c r="I146" s="2339">
        <v>1</v>
      </c>
      <c r="J146" s="2362"/>
      <c r="K146" s="2089" t="s">
        <v>50</v>
      </c>
      <c r="L146" s="2030"/>
      <c r="M146" s="2030" t="s">
        <v>91</v>
      </c>
      <c r="N146" s="2360" t="str">
        <f>IF(Z146="","",INDEX(TERRITORY_MR_LIST,MATCH(Z146,TERRITORY_LIST_ID,0)))</f>
        <v/>
      </c>
      <c r="O146" s="2089" t="s">
        <v>50</v>
      </c>
      <c r="P146" s="2030"/>
      <c r="Q146" s="2030" t="s">
        <v>91</v>
      </c>
      <c r="R146" s="2342" t="s">
        <v>18</v>
      </c>
      <c r="S146" s="2029" t="s">
        <v>50</v>
      </c>
      <c r="T146" s="1723"/>
      <c r="U146" s="1723" t="s">
        <v>91</v>
      </c>
      <c r="V146" s="1753" t="s">
        <v>18</v>
      </c>
      <c r="W146" s="1713"/>
      <c r="Y146" s="1188"/>
      <c r="Z146" s="1188"/>
      <c r="AA146" s="1188"/>
      <c r="AB146" s="1188"/>
      <c r="AC146" s="1188"/>
      <c r="AD146" s="1188"/>
      <c r="AE146" s="1188"/>
      <c r="AF146" s="1188"/>
      <c r="AG146" s="1188"/>
      <c r="AH146" s="1188"/>
      <c r="AI146" s="1188"/>
      <c r="AJ146" s="1188"/>
      <c r="AK146" s="1188"/>
      <c r="AL146" s="1754"/>
      <c r="AM146" s="1754"/>
      <c r="AN146" s="1188"/>
      <c r="AO146" s="1188"/>
      <c r="AP146" s="1188"/>
      <c r="AQ146" s="1188"/>
    </row>
    <row r="147" spans="1:43" s="1958" customFormat="1" ht="17.25" customHeight="1">
      <c r="A147" s="1750"/>
      <c r="C147" s="1755"/>
      <c r="D147" s="2339"/>
      <c r="E147" s="2041"/>
      <c r="F147" s="2044"/>
      <c r="G147" s="2343"/>
      <c r="H147" s="2339"/>
      <c r="I147" s="2339"/>
      <c r="J147" s="2362"/>
      <c r="K147" s="2090"/>
      <c r="L147" s="2030"/>
      <c r="M147" s="2030"/>
      <c r="N147" s="2360"/>
      <c r="O147" s="2090"/>
      <c r="P147" s="2030"/>
      <c r="Q147" s="2030"/>
      <c r="R147" s="2342"/>
      <c r="S147" s="2029"/>
      <c r="T147" s="239"/>
      <c r="U147" s="240"/>
      <c r="V147" s="240" t="s">
        <v>384</v>
      </c>
      <c r="W147" s="241"/>
      <c r="Y147" s="1181"/>
      <c r="Z147" s="1181"/>
      <c r="AA147" s="1181"/>
      <c r="AB147" s="1181"/>
      <c r="AC147" s="1181"/>
      <c r="AD147" s="1181"/>
      <c r="AE147" s="1181"/>
      <c r="AF147" s="1181"/>
      <c r="AG147" s="1181"/>
      <c r="AH147" s="1181"/>
      <c r="AI147" s="1181"/>
      <c r="AJ147" s="1181"/>
      <c r="AK147" s="1181"/>
    </row>
    <row r="148" spans="1:43" s="1958" customFormat="1" ht="17.25" customHeight="1">
      <c r="A148" s="1750"/>
      <c r="C148" s="1755"/>
      <c r="D148" s="2040"/>
      <c r="E148" s="2042"/>
      <c r="F148" s="2044"/>
      <c r="G148" s="2344"/>
      <c r="H148" s="2040"/>
      <c r="I148" s="2040"/>
      <c r="J148" s="2363"/>
      <c r="K148" s="2090"/>
      <c r="L148" s="2040"/>
      <c r="M148" s="2040"/>
      <c r="N148" s="2361"/>
      <c r="O148" s="2034"/>
      <c r="P148" s="239"/>
      <c r="Q148" s="240"/>
      <c r="R148" s="240" t="s">
        <v>385</v>
      </c>
      <c r="S148" s="1756"/>
      <c r="T148" s="1756"/>
      <c r="U148" s="1756"/>
      <c r="V148" s="1756"/>
      <c r="W148" s="241"/>
      <c r="Y148" s="1181"/>
      <c r="Z148" s="1181"/>
      <c r="AA148" s="1181"/>
      <c r="AB148" s="1181"/>
      <c r="AC148" s="1181"/>
      <c r="AD148" s="1181"/>
      <c r="AE148" s="1181"/>
      <c r="AF148" s="1181"/>
      <c r="AG148" s="1181"/>
      <c r="AH148" s="1181"/>
      <c r="AI148" s="1181"/>
      <c r="AJ148" s="1181"/>
      <c r="AK148" s="1181"/>
    </row>
    <row r="149" spans="1:43" s="1958" customFormat="1" ht="17.25" customHeight="1">
      <c r="A149" s="1750"/>
      <c r="C149" s="1755"/>
      <c r="D149" s="2040"/>
      <c r="E149" s="2042"/>
      <c r="F149" s="2044"/>
      <c r="G149" s="2344"/>
      <c r="H149" s="2040"/>
      <c r="I149" s="2040"/>
      <c r="J149" s="2363"/>
      <c r="K149" s="2034"/>
      <c r="L149" s="239"/>
      <c r="M149" s="240"/>
      <c r="N149" s="240" t="s">
        <v>386</v>
      </c>
      <c r="O149" s="240"/>
      <c r="P149" s="240"/>
      <c r="Q149" s="240"/>
      <c r="R149" s="240"/>
      <c r="S149" s="1756"/>
      <c r="T149" s="1756"/>
      <c r="U149" s="1756"/>
      <c r="V149" s="1756"/>
      <c r="W149" s="241"/>
      <c r="Y149" s="1181"/>
      <c r="Z149" s="1181"/>
      <c r="AA149" s="1181"/>
      <c r="AB149" s="1181"/>
      <c r="AC149" s="1181"/>
      <c r="AD149" s="1181"/>
      <c r="AE149" s="1181"/>
      <c r="AF149" s="1181"/>
      <c r="AG149" s="1181"/>
      <c r="AH149" s="1181"/>
      <c r="AI149" s="1181"/>
      <c r="AJ149" s="1181"/>
      <c r="AK149" s="1181"/>
    </row>
    <row r="150" spans="1:43" s="1958" customFormat="1" ht="17.25" customHeight="1">
      <c r="A150" s="1750"/>
      <c r="C150" s="1755"/>
      <c r="D150" s="2040"/>
      <c r="E150" s="2042"/>
      <c r="F150" s="2045"/>
      <c r="G150" s="2344"/>
      <c r="H150" s="239"/>
      <c r="I150" s="240"/>
      <c r="J150" s="240" t="s">
        <v>418</v>
      </c>
      <c r="K150" s="240"/>
      <c r="L150" s="240"/>
      <c r="M150" s="240"/>
      <c r="N150" s="240"/>
      <c r="O150" s="240"/>
      <c r="P150" s="240"/>
      <c r="Q150" s="240"/>
      <c r="R150" s="240"/>
      <c r="S150" s="1756"/>
      <c r="T150" s="1756"/>
      <c r="U150" s="1756"/>
      <c r="V150" s="1756"/>
      <c r="W150" s="241"/>
      <c r="Y150" s="1181"/>
      <c r="Z150" s="1181"/>
      <c r="AA150" s="1181"/>
      <c r="AB150" s="1181"/>
      <c r="AC150" s="1181"/>
      <c r="AD150" s="1181"/>
      <c r="AE150" s="1181"/>
      <c r="AF150" s="1181"/>
      <c r="AG150" s="1181"/>
      <c r="AH150" s="1181"/>
      <c r="AI150" s="1181"/>
      <c r="AJ150" s="1181"/>
      <c r="AK150" s="1181"/>
    </row>
    <row r="151" spans="1:43" ht="17.25" customHeight="1">
      <c r="G151" s="1749"/>
      <c r="H151" s="1749"/>
      <c r="I151" s="1749"/>
      <c r="M151" s="1745"/>
    </row>
    <row r="152" spans="1:43" s="1958" customFormat="1" ht="17.25" customHeight="1">
      <c r="A152" s="1750"/>
      <c r="C152" s="1752"/>
      <c r="D152" s="1740"/>
      <c r="E152" s="1757"/>
      <c r="F152" s="1696"/>
      <c r="G152" s="1758"/>
      <c r="H152" s="2339"/>
      <c r="I152" s="2339">
        <v>1</v>
      </c>
      <c r="J152" s="2362"/>
      <c r="K152" s="2089" t="s">
        <v>50</v>
      </c>
      <c r="L152" s="2030"/>
      <c r="M152" s="2030" t="s">
        <v>91</v>
      </c>
      <c r="N152" s="2360" t="str">
        <f>IF(Z152="","",INDEX(TERRITORY_MR_LIST,MATCH(Z152,TERRITORY_LIST_ID,0)))</f>
        <v/>
      </c>
      <c r="O152" s="2089" t="s">
        <v>50</v>
      </c>
      <c r="P152" s="2030"/>
      <c r="Q152" s="2030" t="s">
        <v>91</v>
      </c>
      <c r="R152" s="2342" t="s">
        <v>18</v>
      </c>
      <c r="S152" s="2029" t="s">
        <v>50</v>
      </c>
      <c r="T152" s="1723"/>
      <c r="U152" s="1723" t="s">
        <v>91</v>
      </c>
      <c r="V152" s="1753" t="s">
        <v>18</v>
      </c>
      <c r="W152" s="1713"/>
      <c r="Y152" s="1188"/>
      <c r="Z152" s="1188"/>
      <c r="AA152" s="1188"/>
      <c r="AB152" s="1188"/>
      <c r="AC152" s="1188"/>
      <c r="AD152" s="1188"/>
      <c r="AE152" s="1188"/>
      <c r="AF152" s="1188"/>
      <c r="AG152" s="1188"/>
      <c r="AH152" s="1188"/>
      <c r="AI152" s="1188"/>
      <c r="AJ152" s="1188"/>
      <c r="AK152" s="1188"/>
      <c r="AL152" s="1754"/>
      <c r="AM152" s="1754"/>
      <c r="AN152" s="1188"/>
      <c r="AO152" s="1188"/>
      <c r="AP152" s="1188"/>
      <c r="AQ152" s="1188"/>
    </row>
    <row r="153" spans="1:43" s="1958" customFormat="1" ht="17.25" customHeight="1">
      <c r="A153" s="1750"/>
      <c r="C153" s="1755"/>
      <c r="D153" s="1740"/>
      <c r="E153" s="1757"/>
      <c r="F153" s="1696"/>
      <c r="G153" s="1758"/>
      <c r="H153" s="2339"/>
      <c r="I153" s="2339"/>
      <c r="J153" s="2362"/>
      <c r="K153" s="2090"/>
      <c r="L153" s="2030"/>
      <c r="M153" s="2030"/>
      <c r="N153" s="2360"/>
      <c r="O153" s="2090"/>
      <c r="P153" s="2030"/>
      <c r="Q153" s="2030"/>
      <c r="R153" s="2342"/>
      <c r="S153" s="2029"/>
      <c r="T153" s="239"/>
      <c r="U153" s="240"/>
      <c r="V153" s="240" t="s">
        <v>384</v>
      </c>
      <c r="W153" s="241"/>
      <c r="Y153" s="1181"/>
      <c r="Z153" s="1181"/>
      <c r="AA153" s="1181"/>
      <c r="AB153" s="1181"/>
      <c r="AC153" s="1181"/>
      <c r="AD153" s="1181"/>
      <c r="AE153" s="1181"/>
      <c r="AF153" s="1181"/>
      <c r="AG153" s="1181"/>
      <c r="AH153" s="1181"/>
      <c r="AI153" s="1181"/>
      <c r="AJ153" s="1181"/>
      <c r="AK153" s="1181"/>
    </row>
    <row r="154" spans="1:43" s="1958" customFormat="1" ht="17.25" customHeight="1">
      <c r="A154" s="1750"/>
      <c r="C154" s="1755"/>
      <c r="D154" s="1740"/>
      <c r="E154" s="1757"/>
      <c r="F154" s="1696"/>
      <c r="G154" s="1758"/>
      <c r="H154" s="2040"/>
      <c r="I154" s="2040"/>
      <c r="J154" s="2363"/>
      <c r="K154" s="2090"/>
      <c r="L154" s="2040"/>
      <c r="M154" s="2040"/>
      <c r="N154" s="2361"/>
      <c r="O154" s="2034"/>
      <c r="P154" s="239"/>
      <c r="Q154" s="240"/>
      <c r="R154" s="240" t="s">
        <v>385</v>
      </c>
      <c r="S154" s="1756"/>
      <c r="T154" s="1756"/>
      <c r="U154" s="1756"/>
      <c r="V154" s="1756"/>
      <c r="W154" s="241"/>
      <c r="Y154" s="1181"/>
      <c r="Z154" s="1181"/>
      <c r="AA154" s="1181"/>
      <c r="AB154" s="1181"/>
      <c r="AC154" s="1181"/>
      <c r="AD154" s="1181"/>
      <c r="AE154" s="1181"/>
      <c r="AF154" s="1181"/>
      <c r="AG154" s="1181"/>
      <c r="AH154" s="1181"/>
      <c r="AI154" s="1181"/>
      <c r="AJ154" s="1181"/>
      <c r="AK154" s="1181"/>
    </row>
    <row r="155" spans="1:43" s="1958" customFormat="1" ht="17.25" customHeight="1">
      <c r="A155" s="1750"/>
      <c r="C155" s="1755"/>
      <c r="D155" s="1740"/>
      <c r="E155" s="1757"/>
      <c r="F155" s="1696"/>
      <c r="G155" s="1758"/>
      <c r="H155" s="2040"/>
      <c r="I155" s="2040"/>
      <c r="J155" s="2363"/>
      <c r="K155" s="2034"/>
      <c r="L155" s="239"/>
      <c r="M155" s="240"/>
      <c r="N155" s="240" t="s">
        <v>386</v>
      </c>
      <c r="O155" s="240"/>
      <c r="P155" s="240"/>
      <c r="Q155" s="240"/>
      <c r="R155" s="240"/>
      <c r="S155" s="1756"/>
      <c r="T155" s="1756"/>
      <c r="U155" s="1756"/>
      <c r="V155" s="1756"/>
      <c r="W155" s="241"/>
      <c r="Y155" s="1181"/>
      <c r="Z155" s="1181"/>
      <c r="AA155" s="1181"/>
      <c r="AB155" s="1181"/>
      <c r="AC155" s="1181"/>
      <c r="AD155" s="1181"/>
      <c r="AE155" s="1181"/>
      <c r="AF155" s="1181"/>
      <c r="AG155" s="1181"/>
      <c r="AH155" s="1181"/>
      <c r="AI155" s="1181"/>
      <c r="AJ155" s="1181"/>
      <c r="AK155" s="1181"/>
    </row>
    <row r="156" spans="1:43" ht="17.25" customHeight="1">
      <c r="G156" s="1749"/>
      <c r="H156" s="1749"/>
      <c r="I156" s="1749"/>
      <c r="M156" s="1745"/>
    </row>
    <row r="157" spans="1:43" s="1958" customFormat="1" ht="17.25" customHeight="1">
      <c r="A157" s="1750"/>
      <c r="C157" s="1752"/>
      <c r="D157" s="1740"/>
      <c r="E157" s="1757"/>
      <c r="F157" s="1696"/>
      <c r="G157" s="1758"/>
      <c r="H157" s="1740"/>
      <c r="I157" s="1740"/>
      <c r="J157" s="1759"/>
      <c r="K157" s="1672"/>
      <c r="L157" s="2030"/>
      <c r="M157" s="2030" t="s">
        <v>91</v>
      </c>
      <c r="N157" s="2360" t="str">
        <f>IF(Z157="","",INDEX(TERRITORY_MR_LIST,MATCH(Z157,TERRITORY_LIST_ID,0)))</f>
        <v/>
      </c>
      <c r="O157" s="2089" t="s">
        <v>50</v>
      </c>
      <c r="P157" s="2030"/>
      <c r="Q157" s="2030" t="s">
        <v>91</v>
      </c>
      <c r="R157" s="2342" t="s">
        <v>18</v>
      </c>
      <c r="S157" s="2029" t="s">
        <v>50</v>
      </c>
      <c r="T157" s="1723"/>
      <c r="U157" s="1723" t="s">
        <v>91</v>
      </c>
      <c r="V157" s="1753" t="s">
        <v>18</v>
      </c>
      <c r="W157" s="1713"/>
      <c r="Y157" s="1188"/>
      <c r="Z157" s="1188"/>
      <c r="AA157" s="1188"/>
      <c r="AB157" s="1188"/>
      <c r="AC157" s="1188"/>
      <c r="AD157" s="1188"/>
      <c r="AE157" s="1188"/>
      <c r="AF157" s="1188"/>
      <c r="AG157" s="1188"/>
      <c r="AH157" s="1188"/>
      <c r="AI157" s="1188"/>
      <c r="AJ157" s="1188"/>
      <c r="AK157" s="1188"/>
      <c r="AL157" s="1754"/>
      <c r="AM157" s="1754"/>
      <c r="AN157" s="1188"/>
      <c r="AO157" s="1188"/>
      <c r="AP157" s="1188"/>
      <c r="AQ157" s="1188"/>
    </row>
    <row r="158" spans="1:43" s="1958" customFormat="1" ht="17.25" customHeight="1">
      <c r="A158" s="1750"/>
      <c r="C158" s="1755"/>
      <c r="D158" s="1740"/>
      <c r="E158" s="1757"/>
      <c r="F158" s="1696"/>
      <c r="G158" s="1758"/>
      <c r="H158" s="1740"/>
      <c r="I158" s="1740"/>
      <c r="J158" s="1759"/>
      <c r="K158" s="1672"/>
      <c r="L158" s="2030"/>
      <c r="M158" s="2030"/>
      <c r="N158" s="2360"/>
      <c r="O158" s="2090"/>
      <c r="P158" s="2030"/>
      <c r="Q158" s="2030"/>
      <c r="R158" s="2342"/>
      <c r="S158" s="2029"/>
      <c r="T158" s="239"/>
      <c r="U158" s="240"/>
      <c r="V158" s="240" t="s">
        <v>384</v>
      </c>
      <c r="W158" s="241"/>
      <c r="Y158" s="1181"/>
      <c r="Z158" s="1181"/>
      <c r="AA158" s="1181"/>
      <c r="AB158" s="1181"/>
      <c r="AC158" s="1181"/>
      <c r="AD158" s="1181"/>
      <c r="AE158" s="1181"/>
      <c r="AF158" s="1181"/>
      <c r="AG158" s="1181"/>
      <c r="AH158" s="1181"/>
      <c r="AI158" s="1181"/>
      <c r="AJ158" s="1181"/>
      <c r="AK158" s="1181"/>
    </row>
    <row r="159" spans="1:43" s="1958" customFormat="1" ht="17.25" customHeight="1">
      <c r="A159" s="1750"/>
      <c r="C159" s="1755"/>
      <c r="D159" s="1740"/>
      <c r="E159" s="1757"/>
      <c r="F159" s="1696"/>
      <c r="G159" s="1758"/>
      <c r="H159" s="1740"/>
      <c r="I159" s="1740"/>
      <c r="J159" s="1759"/>
      <c r="K159" s="1672"/>
      <c r="L159" s="2040"/>
      <c r="M159" s="2040"/>
      <c r="N159" s="2361"/>
      <c r="O159" s="2034"/>
      <c r="P159" s="239"/>
      <c r="Q159" s="240"/>
      <c r="R159" s="240" t="s">
        <v>385</v>
      </c>
      <c r="S159" s="1756"/>
      <c r="T159" s="1756"/>
      <c r="U159" s="1756"/>
      <c r="V159" s="1756"/>
      <c r="W159" s="241"/>
      <c r="Y159" s="1181"/>
      <c r="Z159" s="1181"/>
      <c r="AA159" s="1181"/>
      <c r="AB159" s="1181"/>
      <c r="AC159" s="1181"/>
      <c r="AD159" s="1181"/>
      <c r="AE159" s="1181"/>
      <c r="AF159" s="1181"/>
      <c r="AG159" s="1181"/>
      <c r="AH159" s="1181"/>
      <c r="AI159" s="1181"/>
      <c r="AJ159" s="1181"/>
      <c r="AK159" s="1181"/>
    </row>
    <row r="160" spans="1:43" ht="17.25" customHeight="1">
      <c r="G160" s="1749"/>
      <c r="H160" s="1749"/>
      <c r="I160" s="1749"/>
      <c r="M160" s="1745"/>
    </row>
    <row r="161" spans="1:43" s="1958" customFormat="1" ht="17.25" customHeight="1">
      <c r="A161" s="1750"/>
      <c r="C161" s="1752"/>
      <c r="D161" s="1740"/>
      <c r="E161" s="1757"/>
      <c r="F161" s="1696"/>
      <c r="G161" s="1758"/>
      <c r="H161" s="1740"/>
      <c r="I161" s="1740"/>
      <c r="J161" s="1759"/>
      <c r="K161" s="1672"/>
      <c r="L161" s="1668"/>
      <c r="M161" s="1668"/>
      <c r="N161" s="1760"/>
      <c r="O161" s="1699"/>
      <c r="P161" s="2030"/>
      <c r="Q161" s="2030" t="s">
        <v>91</v>
      </c>
      <c r="R161" s="2342" t="s">
        <v>18</v>
      </c>
      <c r="S161" s="2029" t="s">
        <v>50</v>
      </c>
      <c r="T161" s="1723"/>
      <c r="U161" s="1723" t="s">
        <v>91</v>
      </c>
      <c r="V161" s="1753" t="s">
        <v>18</v>
      </c>
      <c r="W161" s="1713"/>
      <c r="Y161" s="1188"/>
      <c r="Z161" s="1188"/>
      <c r="AA161" s="1188"/>
      <c r="AB161" s="1188"/>
      <c r="AC161" s="1188"/>
      <c r="AD161" s="1188"/>
      <c r="AE161" s="1188"/>
      <c r="AF161" s="1188"/>
      <c r="AG161" s="1188"/>
      <c r="AH161" s="1188"/>
      <c r="AI161" s="1188"/>
      <c r="AJ161" s="1188"/>
      <c r="AK161" s="1188"/>
      <c r="AL161" s="1754"/>
      <c r="AM161" s="1754"/>
      <c r="AN161" s="1188"/>
      <c r="AO161" s="1188"/>
      <c r="AP161" s="1188"/>
      <c r="AQ161" s="1188"/>
    </row>
    <row r="162" spans="1:43" s="1958" customFormat="1" ht="17.25" customHeight="1">
      <c r="A162" s="1750"/>
      <c r="C162" s="1755"/>
      <c r="D162" s="1740"/>
      <c r="E162" s="1757"/>
      <c r="F162" s="1696"/>
      <c r="G162" s="1758"/>
      <c r="H162" s="1740"/>
      <c r="I162" s="1740"/>
      <c r="J162" s="1759"/>
      <c r="K162" s="1672"/>
      <c r="L162" s="1668"/>
      <c r="M162" s="1668"/>
      <c r="N162" s="1760"/>
      <c r="O162" s="1699"/>
      <c r="P162" s="2030"/>
      <c r="Q162" s="2030"/>
      <c r="R162" s="2342"/>
      <c r="S162" s="2029"/>
      <c r="T162" s="239"/>
      <c r="U162" s="240"/>
      <c r="V162" s="240" t="s">
        <v>384</v>
      </c>
      <c r="W162" s="241"/>
      <c r="Y162" s="1181"/>
      <c r="Z162" s="1181"/>
      <c r="AA162" s="1181"/>
      <c r="AB162" s="1181"/>
      <c r="AC162" s="1181"/>
      <c r="AD162" s="1181"/>
      <c r="AE162" s="1181"/>
      <c r="AF162" s="1181"/>
      <c r="AG162" s="1181"/>
      <c r="AH162" s="1181"/>
      <c r="AI162" s="1181"/>
      <c r="AJ162" s="1181"/>
      <c r="AK162" s="1181"/>
    </row>
    <row r="163" spans="1:43" ht="17.25" customHeight="1">
      <c r="G163" s="1749"/>
      <c r="H163" s="1749"/>
      <c r="I163" s="1749"/>
      <c r="M163" s="1745"/>
    </row>
    <row r="164" spans="1:43" s="1958" customFormat="1" ht="17.25" customHeight="1">
      <c r="A164" s="1750"/>
      <c r="C164" s="1752"/>
      <c r="D164" s="1740"/>
      <c r="E164" s="1757"/>
      <c r="F164" s="1696"/>
      <c r="G164" s="1758"/>
      <c r="H164" s="1668"/>
      <c r="I164" s="1668"/>
      <c r="J164" s="1669"/>
      <c r="K164" s="1758"/>
      <c r="L164" s="1668"/>
      <c r="M164" s="1668"/>
      <c r="N164" s="1758"/>
      <c r="O164" s="1758"/>
      <c r="P164" s="1668"/>
      <c r="Q164" s="1668"/>
      <c r="R164" s="1670"/>
      <c r="S164" s="1758"/>
      <c r="T164" s="1723"/>
      <c r="U164" s="1723" t="s">
        <v>91</v>
      </c>
      <c r="V164" s="1753" t="s">
        <v>18</v>
      </c>
      <c r="W164" s="1713"/>
      <c r="Y164" s="1188"/>
      <c r="Z164" s="1188"/>
      <c r="AA164" s="1188"/>
      <c r="AB164" s="1188"/>
      <c r="AC164" s="1188"/>
      <c r="AD164" s="1188"/>
      <c r="AE164" s="1188"/>
      <c r="AF164" s="1188"/>
      <c r="AG164" s="1188"/>
      <c r="AH164" s="1188"/>
      <c r="AI164" s="1188"/>
      <c r="AJ164" s="1188"/>
      <c r="AK164" s="1188"/>
      <c r="AL164" s="1754"/>
      <c r="AM164" s="1754"/>
      <c r="AN164" s="1188"/>
      <c r="AO164" s="1188"/>
      <c r="AP164" s="1188"/>
      <c r="AQ164" s="1188"/>
    </row>
    <row r="166" spans="1:43" s="1954" customFormat="1" ht="17.25" customHeight="1">
      <c r="A166" s="1727" t="s">
        <v>1130</v>
      </c>
    </row>
    <row r="167" spans="1:43" ht="17.25" customHeight="1">
      <c r="G167" s="1749"/>
      <c r="H167" s="1749"/>
      <c r="I167" s="1749"/>
      <c r="M167" s="1745"/>
    </row>
    <row r="168" spans="1:43" s="1958" customFormat="1" ht="17.25" customHeight="1">
      <c r="A168" s="1750"/>
      <c r="C168" s="1752"/>
      <c r="D168" s="2339"/>
      <c r="E168" s="2041"/>
      <c r="F168" s="2043"/>
      <c r="G168" s="2343"/>
      <c r="H168" s="2339"/>
      <c r="I168" s="2339">
        <v>1</v>
      </c>
      <c r="J168" s="2362"/>
      <c r="K168" s="2089" t="s">
        <v>50</v>
      </c>
      <c r="L168" s="2030"/>
      <c r="M168" s="2030" t="s">
        <v>91</v>
      </c>
      <c r="N168" s="2360" t="str">
        <f>IF(Z168="","",INDEX(TERRITORY_MR_LIST,MATCH(Z168,TERRITORY_LIST_ID,0)))</f>
        <v/>
      </c>
      <c r="O168" s="2089" t="s">
        <v>50</v>
      </c>
      <c r="P168" s="2030"/>
      <c r="Q168" s="2030" t="s">
        <v>91</v>
      </c>
      <c r="R168" s="2342" t="s">
        <v>18</v>
      </c>
      <c r="S168" s="2249" t="s">
        <v>48</v>
      </c>
      <c r="T168" s="1714"/>
      <c r="U168" s="1714" t="s">
        <v>91</v>
      </c>
      <c r="V168" s="1351"/>
      <c r="W168" s="2362"/>
      <c r="Y168" s="1188"/>
      <c r="Z168" s="1188"/>
      <c r="AA168" s="1188"/>
      <c r="AB168" s="1188"/>
      <c r="AC168" s="1188"/>
      <c r="AD168" s="1188"/>
      <c r="AE168" s="1188"/>
      <c r="AF168" s="1188"/>
      <c r="AG168" s="1188"/>
      <c r="AH168" s="1188"/>
      <c r="AI168" s="1188"/>
      <c r="AJ168" s="1188"/>
      <c r="AK168" s="1188"/>
      <c r="AL168" s="1754"/>
      <c r="AM168" s="1754"/>
      <c r="AN168" s="1188"/>
      <c r="AO168" s="1188"/>
      <c r="AP168" s="1188"/>
      <c r="AQ168" s="1188"/>
    </row>
    <row r="169" spans="1:43" s="1958" customFormat="1" ht="17.25" customHeight="1">
      <c r="A169" s="1750"/>
      <c r="C169" s="1755"/>
      <c r="D169" s="2339"/>
      <c r="E169" s="2041"/>
      <c r="F169" s="2044"/>
      <c r="G169" s="2343"/>
      <c r="H169" s="2339"/>
      <c r="I169" s="2339"/>
      <c r="J169" s="2362"/>
      <c r="K169" s="2090"/>
      <c r="L169" s="2030"/>
      <c r="M169" s="2030"/>
      <c r="N169" s="2360"/>
      <c r="O169" s="2090"/>
      <c r="P169" s="2030"/>
      <c r="Q169" s="2030"/>
      <c r="R169" s="2342"/>
      <c r="S169" s="2249"/>
      <c r="T169" s="1352"/>
      <c r="U169" s="1353"/>
      <c r="V169" s="1353"/>
      <c r="W169" s="2362"/>
      <c r="Y169" s="1181"/>
      <c r="Z169" s="1181"/>
      <c r="AA169" s="1181"/>
      <c r="AB169" s="1181"/>
      <c r="AC169" s="1181"/>
      <c r="AD169" s="1181"/>
      <c r="AE169" s="1181"/>
      <c r="AF169" s="1181"/>
      <c r="AG169" s="1181"/>
      <c r="AH169" s="1181"/>
      <c r="AI169" s="1181"/>
      <c r="AJ169" s="1181"/>
      <c r="AK169" s="1181"/>
    </row>
    <row r="170" spans="1:43" s="1958" customFormat="1" ht="17.25" customHeight="1">
      <c r="A170" s="1750"/>
      <c r="C170" s="1755"/>
      <c r="D170" s="2040"/>
      <c r="E170" s="2042"/>
      <c r="F170" s="2044"/>
      <c r="G170" s="2344"/>
      <c r="H170" s="2040"/>
      <c r="I170" s="2040"/>
      <c r="J170" s="2363"/>
      <c r="K170" s="2090"/>
      <c r="L170" s="2040"/>
      <c r="M170" s="2040"/>
      <c r="N170" s="2361"/>
      <c r="O170" s="2034"/>
      <c r="P170" s="239"/>
      <c r="Q170" s="240"/>
      <c r="R170" s="240" t="s">
        <v>385</v>
      </c>
      <c r="S170" s="1756"/>
      <c r="T170" s="1756"/>
      <c r="U170" s="1756"/>
      <c r="V170" s="1756"/>
      <c r="W170" s="1350"/>
      <c r="Y170" s="1181"/>
      <c r="Z170" s="1181"/>
      <c r="AA170" s="1181"/>
      <c r="AB170" s="1181"/>
      <c r="AC170" s="1181"/>
      <c r="AD170" s="1181"/>
      <c r="AE170" s="1181"/>
      <c r="AF170" s="1181"/>
      <c r="AG170" s="1181"/>
      <c r="AH170" s="1181"/>
      <c r="AI170" s="1181"/>
      <c r="AJ170" s="1181"/>
      <c r="AK170" s="1181"/>
    </row>
    <row r="171" spans="1:43" s="1958" customFormat="1" ht="17.25" customHeight="1">
      <c r="A171" s="1750"/>
      <c r="C171" s="1755"/>
      <c r="D171" s="2040"/>
      <c r="E171" s="2042"/>
      <c r="F171" s="2044"/>
      <c r="G171" s="2344"/>
      <c r="H171" s="2040"/>
      <c r="I171" s="2040"/>
      <c r="J171" s="2363"/>
      <c r="K171" s="2034"/>
      <c r="L171" s="239"/>
      <c r="M171" s="240"/>
      <c r="N171" s="240" t="s">
        <v>386</v>
      </c>
      <c r="O171" s="240"/>
      <c r="P171" s="240"/>
      <c r="Q171" s="240"/>
      <c r="R171" s="240"/>
      <c r="S171" s="1756"/>
      <c r="T171" s="1756"/>
      <c r="U171" s="1756"/>
      <c r="V171" s="1756"/>
      <c r="W171" s="241"/>
      <c r="Y171" s="1181"/>
      <c r="Z171" s="1181"/>
      <c r="AA171" s="1181"/>
      <c r="AB171" s="1181"/>
      <c r="AC171" s="1181"/>
      <c r="AD171" s="1181"/>
      <c r="AE171" s="1181"/>
      <c r="AF171" s="1181"/>
      <c r="AG171" s="1181"/>
      <c r="AH171" s="1181"/>
      <c r="AI171" s="1181"/>
      <c r="AJ171" s="1181"/>
      <c r="AK171" s="1181"/>
    </row>
    <row r="172" spans="1:43" s="1958" customFormat="1" ht="17.25" customHeight="1">
      <c r="A172" s="1750"/>
      <c r="C172" s="1755"/>
      <c r="D172" s="2040"/>
      <c r="E172" s="2042"/>
      <c r="F172" s="2045"/>
      <c r="G172" s="2344"/>
      <c r="H172" s="239"/>
      <c r="I172" s="240"/>
      <c r="J172" s="240" t="s">
        <v>418</v>
      </c>
      <c r="K172" s="240"/>
      <c r="L172" s="240"/>
      <c r="M172" s="240"/>
      <c r="N172" s="240"/>
      <c r="O172" s="240"/>
      <c r="P172" s="240"/>
      <c r="Q172" s="240"/>
      <c r="R172" s="240"/>
      <c r="S172" s="1756"/>
      <c r="T172" s="1756"/>
      <c r="U172" s="1756"/>
      <c r="V172" s="1756"/>
      <c r="W172" s="241"/>
      <c r="Y172" s="1181"/>
      <c r="Z172" s="1181"/>
      <c r="AA172" s="1181"/>
      <c r="AB172" s="1181"/>
      <c r="AC172" s="1181"/>
      <c r="AD172" s="1181"/>
      <c r="AE172" s="1181"/>
      <c r="AF172" s="1181"/>
      <c r="AG172" s="1181"/>
      <c r="AH172" s="1181"/>
      <c r="AI172" s="1181"/>
      <c r="AJ172" s="1181"/>
      <c r="AK172" s="1181"/>
    </row>
    <row r="173" spans="1:43" ht="17.25" customHeight="1">
      <c r="A173" s="1761"/>
    </row>
    <row r="174" spans="1:43" s="1958" customFormat="1" ht="17.25" customHeight="1">
      <c r="A174" s="1750"/>
      <c r="C174" s="1752"/>
      <c r="D174" s="1740"/>
      <c r="E174" s="1757"/>
      <c r="F174" s="1696"/>
      <c r="G174" s="1758"/>
      <c r="H174" s="2339"/>
      <c r="I174" s="2339">
        <v>1</v>
      </c>
      <c r="J174" s="2362"/>
      <c r="K174" s="2089" t="s">
        <v>50</v>
      </c>
      <c r="L174" s="2030"/>
      <c r="M174" s="2030" t="s">
        <v>91</v>
      </c>
      <c r="N174" s="2360" t="str">
        <f>IF(Z174="","",INDEX(TERRITORY_MR_LIST,MATCH(Z174,TERRITORY_LIST_ID,0)))</f>
        <v/>
      </c>
      <c r="O174" s="2089" t="s">
        <v>50</v>
      </c>
      <c r="P174" s="2030"/>
      <c r="Q174" s="2030" t="s">
        <v>91</v>
      </c>
      <c r="R174" s="2342" t="s">
        <v>18</v>
      </c>
      <c r="S174" s="2249" t="s">
        <v>48</v>
      </c>
      <c r="T174" s="1714"/>
      <c r="U174" s="1714" t="s">
        <v>91</v>
      </c>
      <c r="V174" s="1351"/>
      <c r="W174" s="2362"/>
      <c r="Y174" s="1188"/>
      <c r="Z174" s="1188"/>
      <c r="AA174" s="1188"/>
      <c r="AB174" s="1188"/>
      <c r="AC174" s="1188"/>
      <c r="AD174" s="1188"/>
      <c r="AE174" s="1188"/>
      <c r="AF174" s="1188"/>
      <c r="AG174" s="1188"/>
      <c r="AH174" s="1188"/>
      <c r="AI174" s="1188"/>
      <c r="AJ174" s="1188"/>
      <c r="AK174" s="1188"/>
      <c r="AL174" s="1754"/>
      <c r="AM174" s="1754"/>
      <c r="AN174" s="1188"/>
      <c r="AO174" s="1188"/>
      <c r="AP174" s="1188"/>
      <c r="AQ174" s="1188"/>
    </row>
    <row r="175" spans="1:43" s="1958" customFormat="1" ht="17.25" customHeight="1">
      <c r="A175" s="1750"/>
      <c r="C175" s="1755"/>
      <c r="D175" s="1740"/>
      <c r="E175" s="1757"/>
      <c r="F175" s="1696"/>
      <c r="G175" s="1758"/>
      <c r="H175" s="2339"/>
      <c r="I175" s="2339"/>
      <c r="J175" s="2362"/>
      <c r="K175" s="2090"/>
      <c r="L175" s="2030"/>
      <c r="M175" s="2030"/>
      <c r="N175" s="2360"/>
      <c r="O175" s="2090"/>
      <c r="P175" s="2030"/>
      <c r="Q175" s="2030"/>
      <c r="R175" s="2342"/>
      <c r="S175" s="2249"/>
      <c r="T175" s="1352"/>
      <c r="U175" s="1353"/>
      <c r="V175" s="1353"/>
      <c r="W175" s="2362"/>
      <c r="Y175" s="1181"/>
      <c r="Z175" s="1181"/>
      <c r="AA175" s="1181"/>
      <c r="AB175" s="1181"/>
      <c r="AC175" s="1181"/>
      <c r="AD175" s="1181"/>
      <c r="AE175" s="1181"/>
      <c r="AF175" s="1181"/>
      <c r="AG175" s="1181"/>
      <c r="AH175" s="1181"/>
      <c r="AI175" s="1181"/>
      <c r="AJ175" s="1181"/>
      <c r="AK175" s="1181"/>
    </row>
    <row r="176" spans="1:43" s="1958" customFormat="1" ht="17.25" customHeight="1">
      <c r="A176" s="1750"/>
      <c r="C176" s="1755"/>
      <c r="D176" s="1740"/>
      <c r="E176" s="1757"/>
      <c r="F176" s="1696"/>
      <c r="G176" s="1758"/>
      <c r="H176" s="2040"/>
      <c r="I176" s="2040"/>
      <c r="J176" s="2363"/>
      <c r="K176" s="2090"/>
      <c r="L176" s="2040"/>
      <c r="M176" s="2040"/>
      <c r="N176" s="2361"/>
      <c r="O176" s="2034"/>
      <c r="P176" s="239"/>
      <c r="Q176" s="240"/>
      <c r="R176" s="240" t="s">
        <v>385</v>
      </c>
      <c r="S176" s="1756"/>
      <c r="T176" s="1756"/>
      <c r="U176" s="1756"/>
      <c r="V176" s="1756"/>
      <c r="W176" s="1350"/>
      <c r="Y176" s="1181"/>
      <c r="Z176" s="1181"/>
      <c r="AA176" s="1181"/>
      <c r="AB176" s="1181"/>
      <c r="AC176" s="1181"/>
      <c r="AD176" s="1181"/>
      <c r="AE176" s="1181"/>
      <c r="AF176" s="1181"/>
      <c r="AG176" s="1181"/>
      <c r="AH176" s="1181"/>
      <c r="AI176" s="1181"/>
      <c r="AJ176" s="1181"/>
      <c r="AK176" s="1181"/>
    </row>
    <row r="177" spans="1:43" s="1958" customFormat="1" ht="17.25" customHeight="1">
      <c r="A177" s="1750"/>
      <c r="C177" s="1755"/>
      <c r="D177" s="1740"/>
      <c r="E177" s="1757"/>
      <c r="F177" s="1696"/>
      <c r="G177" s="1758"/>
      <c r="H177" s="2040"/>
      <c r="I177" s="2040"/>
      <c r="J177" s="2363"/>
      <c r="K177" s="2034"/>
      <c r="L177" s="239"/>
      <c r="M177" s="240"/>
      <c r="N177" s="240" t="s">
        <v>386</v>
      </c>
      <c r="O177" s="240"/>
      <c r="P177" s="240"/>
      <c r="Q177" s="240"/>
      <c r="R177" s="240"/>
      <c r="S177" s="1756"/>
      <c r="T177" s="1756"/>
      <c r="U177" s="1756"/>
      <c r="V177" s="1756"/>
      <c r="W177" s="241"/>
      <c r="Y177" s="1181"/>
      <c r="Z177" s="1181"/>
      <c r="AA177" s="1181"/>
      <c r="AB177" s="1181"/>
      <c r="AC177" s="1181"/>
      <c r="AD177" s="1181"/>
      <c r="AE177" s="1181"/>
      <c r="AF177" s="1181"/>
      <c r="AG177" s="1181"/>
      <c r="AH177" s="1181"/>
      <c r="AI177" s="1181"/>
      <c r="AJ177" s="1181"/>
      <c r="AK177" s="1181"/>
    </row>
    <row r="178" spans="1:43" ht="17.25" customHeight="1">
      <c r="A178" s="1761"/>
    </row>
    <row r="179" spans="1:43" s="1958" customFormat="1" ht="17.25" customHeight="1">
      <c r="A179" s="1750"/>
      <c r="C179" s="1752"/>
      <c r="D179" s="1740"/>
      <c r="E179" s="1757"/>
      <c r="F179" s="1696"/>
      <c r="G179" s="1758"/>
      <c r="H179" s="1740"/>
      <c r="I179" s="1740"/>
      <c r="J179" s="1762"/>
      <c r="K179" s="1758"/>
      <c r="L179" s="2030"/>
      <c r="M179" s="2030" t="s">
        <v>91</v>
      </c>
      <c r="N179" s="2360" t="str">
        <f>IF(Z179="","",INDEX(TERRITORY_MR_LIST,MATCH(Z179,TERRITORY_LIST_ID,0)))</f>
        <v/>
      </c>
      <c r="O179" s="2089" t="s">
        <v>50</v>
      </c>
      <c r="P179" s="2030"/>
      <c r="Q179" s="2030" t="s">
        <v>91</v>
      </c>
      <c r="R179" s="2342" t="s">
        <v>18</v>
      </c>
      <c r="S179" s="2249" t="s">
        <v>48</v>
      </c>
      <c r="T179" s="1714"/>
      <c r="U179" s="1714" t="s">
        <v>91</v>
      </c>
      <c r="V179" s="1351"/>
      <c r="W179" s="2362"/>
      <c r="Y179" s="1188"/>
      <c r="Z179" s="1188"/>
      <c r="AA179" s="1188"/>
      <c r="AB179" s="1188"/>
      <c r="AC179" s="1188"/>
      <c r="AD179" s="1188"/>
      <c r="AE179" s="1188"/>
      <c r="AF179" s="1188"/>
      <c r="AG179" s="1188"/>
      <c r="AH179" s="1188"/>
      <c r="AI179" s="1188"/>
      <c r="AJ179" s="1188"/>
      <c r="AK179" s="1188"/>
      <c r="AL179" s="1754"/>
      <c r="AM179" s="1754"/>
      <c r="AN179" s="1188"/>
      <c r="AO179" s="1188"/>
      <c r="AP179" s="1188"/>
      <c r="AQ179" s="1188"/>
    </row>
    <row r="180" spans="1:43" s="1958" customFormat="1" ht="17.25" customHeight="1">
      <c r="A180" s="1750"/>
      <c r="C180" s="1755"/>
      <c r="D180" s="1740"/>
      <c r="E180" s="1757"/>
      <c r="F180" s="1696"/>
      <c r="G180" s="1758"/>
      <c r="H180" s="1740"/>
      <c r="I180" s="1740"/>
      <c r="J180" s="1762"/>
      <c r="K180" s="1758"/>
      <c r="L180" s="2030"/>
      <c r="M180" s="2030"/>
      <c r="N180" s="2360"/>
      <c r="O180" s="2090"/>
      <c r="P180" s="2030"/>
      <c r="Q180" s="2030"/>
      <c r="R180" s="2342"/>
      <c r="S180" s="2249"/>
      <c r="T180" s="1352"/>
      <c r="U180" s="1353"/>
      <c r="V180" s="1353"/>
      <c r="W180" s="2362"/>
      <c r="Y180" s="1181"/>
      <c r="Z180" s="1181"/>
      <c r="AA180" s="1181"/>
      <c r="AB180" s="1181"/>
      <c r="AC180" s="1181"/>
      <c r="AD180" s="1181"/>
      <c r="AE180" s="1181"/>
      <c r="AF180" s="1181"/>
      <c r="AG180" s="1181"/>
      <c r="AH180" s="1181"/>
      <c r="AI180" s="1181"/>
      <c r="AJ180" s="1181"/>
      <c r="AK180" s="1181"/>
    </row>
    <row r="181" spans="1:43" s="1958" customFormat="1" ht="17.25" customHeight="1">
      <c r="A181" s="1750"/>
      <c r="C181" s="1755"/>
      <c r="D181" s="1740"/>
      <c r="E181" s="1757"/>
      <c r="F181" s="1696"/>
      <c r="G181" s="1758"/>
      <c r="H181" s="1740"/>
      <c r="I181" s="1740"/>
      <c r="J181" s="1762"/>
      <c r="K181" s="1758"/>
      <c r="L181" s="2040"/>
      <c r="M181" s="2040"/>
      <c r="N181" s="2361"/>
      <c r="O181" s="2034"/>
      <c r="P181" s="239"/>
      <c r="Q181" s="240"/>
      <c r="R181" s="240" t="s">
        <v>385</v>
      </c>
      <c r="S181" s="1756"/>
      <c r="T181" s="1756"/>
      <c r="U181" s="1756"/>
      <c r="V181" s="1756"/>
      <c r="W181" s="1350"/>
      <c r="Y181" s="1181"/>
      <c r="Z181" s="1181"/>
      <c r="AA181" s="1181"/>
      <c r="AB181" s="1181"/>
      <c r="AC181" s="1181"/>
      <c r="AD181" s="1181"/>
      <c r="AE181" s="1181"/>
      <c r="AF181" s="1181"/>
      <c r="AG181" s="1181"/>
      <c r="AH181" s="1181"/>
      <c r="AI181" s="1181"/>
      <c r="AJ181" s="1181"/>
      <c r="AK181" s="1181"/>
    </row>
    <row r="182" spans="1:43" ht="17.25" customHeight="1">
      <c r="A182" s="1761"/>
    </row>
    <row r="183" spans="1:43" s="1958" customFormat="1" ht="17.25" customHeight="1">
      <c r="A183" s="1750"/>
      <c r="C183" s="1752"/>
      <c r="D183" s="1740"/>
      <c r="E183" s="1757"/>
      <c r="F183" s="1696"/>
      <c r="G183" s="1758"/>
      <c r="H183" s="1740"/>
      <c r="I183" s="1740"/>
      <c r="J183" s="1762"/>
      <c r="K183" s="1758"/>
      <c r="L183" s="1740"/>
      <c r="M183" s="1740"/>
      <c r="N183" s="1760"/>
      <c r="O183" s="1699"/>
      <c r="P183" s="2030"/>
      <c r="Q183" s="2030" t="s">
        <v>91</v>
      </c>
      <c r="R183" s="2342" t="s">
        <v>18</v>
      </c>
      <c r="S183" s="2249" t="s">
        <v>48</v>
      </c>
      <c r="T183" s="1714"/>
      <c r="U183" s="1714" t="s">
        <v>91</v>
      </c>
      <c r="V183" s="1351"/>
      <c r="W183" s="2362"/>
      <c r="Y183" s="1188"/>
      <c r="Z183" s="1188"/>
      <c r="AA183" s="1188"/>
      <c r="AB183" s="1188"/>
      <c r="AC183" s="1188"/>
      <c r="AD183" s="1188"/>
      <c r="AE183" s="1188"/>
      <c r="AF183" s="1188"/>
      <c r="AG183" s="1188"/>
      <c r="AH183" s="1188"/>
      <c r="AI183" s="1188"/>
      <c r="AJ183" s="1188"/>
      <c r="AK183" s="1188"/>
      <c r="AL183" s="1754"/>
      <c r="AM183" s="1754"/>
      <c r="AN183" s="1188"/>
      <c r="AO183" s="1188"/>
      <c r="AP183" s="1188"/>
      <c r="AQ183" s="1188"/>
    </row>
    <row r="184" spans="1:43" s="1958" customFormat="1" ht="17.25" customHeight="1">
      <c r="A184" s="1750"/>
      <c r="C184" s="1755"/>
      <c r="D184" s="1740"/>
      <c r="E184" s="1757"/>
      <c r="F184" s="1696"/>
      <c r="G184" s="1758"/>
      <c r="H184" s="1740"/>
      <c r="I184" s="1740"/>
      <c r="J184" s="1762"/>
      <c r="K184" s="1758"/>
      <c r="L184" s="1740"/>
      <c r="M184" s="1740"/>
      <c r="N184" s="1760"/>
      <c r="O184" s="1699"/>
      <c r="P184" s="2030"/>
      <c r="Q184" s="2030"/>
      <c r="R184" s="2342"/>
      <c r="S184" s="2249"/>
      <c r="T184" s="1352"/>
      <c r="U184" s="1353"/>
      <c r="V184" s="1353"/>
      <c r="W184" s="2362"/>
      <c r="Y184" s="1181"/>
      <c r="Z184" s="1181"/>
      <c r="AA184" s="1181"/>
      <c r="AB184" s="1181"/>
      <c r="AC184" s="1181"/>
      <c r="AD184" s="1181"/>
      <c r="AE184" s="1181"/>
      <c r="AF184" s="1181"/>
      <c r="AG184" s="1181"/>
      <c r="AH184" s="1181"/>
      <c r="AI184" s="1181"/>
      <c r="AJ184" s="1181"/>
      <c r="AK184" s="1181"/>
    </row>
    <row r="185" spans="1:43" ht="17.25" customHeight="1">
      <c r="A185" s="1761"/>
    </row>
    <row r="186" spans="1:43" ht="16.5" customHeight="1">
      <c r="A186" s="1750"/>
      <c r="B186" s="1751"/>
      <c r="C186" s="1755"/>
      <c r="D186" s="2339"/>
      <c r="E186" s="2086"/>
      <c r="F186" s="2086"/>
      <c r="G186" s="2019"/>
      <c r="H186" s="2046"/>
      <c r="I186" s="2048"/>
      <c r="J186" s="2050"/>
      <c r="K186" s="2037"/>
      <c r="L186" s="2037"/>
      <c r="M186" s="2037"/>
      <c r="N186" s="2053"/>
      <c r="O186" s="2037"/>
      <c r="P186" s="2037"/>
      <c r="Q186" s="2037"/>
      <c r="R186" s="2056"/>
      <c r="S186" s="2037"/>
      <c r="T186" s="1695"/>
      <c r="U186" s="1695"/>
      <c r="V186" s="1763"/>
      <c r="W186" s="1217"/>
    </row>
    <row r="187" spans="1:43" ht="16.5" customHeight="1">
      <c r="A187" s="1750"/>
      <c r="B187" s="1751"/>
      <c r="C187" s="1755"/>
      <c r="D187" s="2339"/>
      <c r="E187" s="2086"/>
      <c r="F187" s="2086"/>
      <c r="G187" s="2019"/>
      <c r="H187" s="2047"/>
      <c r="I187" s="2049"/>
      <c r="J187" s="2051"/>
      <c r="K187" s="2038"/>
      <c r="L187" s="2038"/>
      <c r="M187" s="2038"/>
      <c r="N187" s="2054"/>
      <c r="O187" s="2038"/>
      <c r="P187" s="2038"/>
      <c r="Q187" s="2038"/>
      <c r="R187" s="2055"/>
      <c r="S187" s="2038"/>
      <c r="T187" s="1218"/>
      <c r="U187" s="1218"/>
      <c r="V187" s="1218"/>
      <c r="W187" s="1219"/>
    </row>
    <row r="188" spans="1:43" ht="17.25" customHeight="1">
      <c r="A188" s="1750"/>
      <c r="B188" s="1751"/>
      <c r="C188" s="1755"/>
      <c r="D188" s="2339"/>
      <c r="E188" s="2086"/>
      <c r="F188" s="2086"/>
      <c r="G188" s="2019"/>
      <c r="H188" s="2047"/>
      <c r="I188" s="2049"/>
      <c r="J188" s="2052"/>
      <c r="K188" s="2038"/>
      <c r="L188" s="2038"/>
      <c r="M188" s="2038"/>
      <c r="N188" s="2055"/>
      <c r="O188" s="2038"/>
      <c r="P188" s="1698"/>
      <c r="Q188" s="1218"/>
      <c r="R188" s="1218"/>
      <c r="S188" s="1764"/>
      <c r="T188" s="1764"/>
      <c r="U188" s="1764"/>
      <c r="V188" s="1764"/>
      <c r="W188" s="1219"/>
    </row>
    <row r="189" spans="1:43" ht="17.25" customHeight="1">
      <c r="A189" s="1750"/>
      <c r="B189" s="1751"/>
      <c r="C189" s="1755"/>
      <c r="D189" s="2339"/>
      <c r="E189" s="2086"/>
      <c r="F189" s="2086"/>
      <c r="G189" s="2019"/>
      <c r="H189" s="2047"/>
      <c r="I189" s="2049"/>
      <c r="J189" s="2052"/>
      <c r="K189" s="2038"/>
      <c r="L189" s="1218"/>
      <c r="M189" s="1218"/>
      <c r="N189" s="1218"/>
      <c r="O189" s="1218"/>
      <c r="P189" s="1218"/>
      <c r="Q189" s="1218"/>
      <c r="R189" s="1218"/>
      <c r="S189" s="1764"/>
      <c r="T189" s="1764"/>
      <c r="U189" s="1764"/>
      <c r="V189" s="1764"/>
      <c r="W189" s="1219"/>
    </row>
    <row r="190" spans="1:43" ht="17.25" customHeight="1">
      <c r="A190" s="1750"/>
      <c r="B190" s="1751"/>
      <c r="C190" s="1755"/>
      <c r="D190" s="2339"/>
      <c r="E190" s="2086"/>
      <c r="F190" s="2086"/>
      <c r="G190" s="2019"/>
      <c r="H190" s="1220"/>
      <c r="I190" s="1221"/>
      <c r="J190" s="1221"/>
      <c r="K190" s="1221"/>
      <c r="L190" s="1221"/>
      <c r="M190" s="1221"/>
      <c r="N190" s="1221"/>
      <c r="O190" s="1221"/>
      <c r="P190" s="1221"/>
      <c r="Q190" s="1221"/>
      <c r="R190" s="1221"/>
      <c r="S190" s="1765"/>
      <c r="T190" s="1765"/>
      <c r="U190" s="1765"/>
      <c r="V190" s="1765"/>
      <c r="W190" s="1223"/>
    </row>
    <row r="192" spans="1:43" s="1954" customFormat="1" ht="17.25" customHeight="1">
      <c r="A192" s="1727" t="s">
        <v>1131</v>
      </c>
    </row>
    <row r="193" spans="1:63" ht="17.25" customHeight="1">
      <c r="G193" s="1749"/>
      <c r="H193" s="1749"/>
      <c r="I193" s="1749"/>
      <c r="M193" s="1745"/>
    </row>
    <row r="194" spans="1:63" s="1822" customFormat="1" ht="15" customHeight="1">
      <c r="D194" s="2387"/>
      <c r="E194" s="2081"/>
      <c r="F194" s="2081"/>
      <c r="G194" s="2089"/>
      <c r="H194" s="1483"/>
      <c r="I194" s="2388">
        <v>1</v>
      </c>
      <c r="J194" s="2362"/>
      <c r="K194" s="1498"/>
      <c r="L194" s="2089" t="s">
        <v>50</v>
      </c>
      <c r="M194" s="2089" t="s">
        <v>50</v>
      </c>
      <c r="N194" s="1483"/>
      <c r="O194" s="2030" t="s">
        <v>91</v>
      </c>
      <c r="P194" s="2382"/>
      <c r="Q194" s="1499"/>
      <c r="R194" s="2089" t="s">
        <v>50</v>
      </c>
      <c r="S194" s="2089" t="s">
        <v>50</v>
      </c>
      <c r="T194" s="1766"/>
      <c r="U194" s="2030" t="s">
        <v>91</v>
      </c>
      <c r="V194" s="2384" t="str">
        <f>IF(AK194="","",INDEX(TERRITORY_MR_LIST,MATCH(AK194,TERRITORY_LIST_ID,0)))</f>
        <v/>
      </c>
      <c r="W194" s="1500"/>
      <c r="X194" s="2089" t="s">
        <v>50</v>
      </c>
      <c r="Y194" s="2089" t="s">
        <v>48</v>
      </c>
      <c r="Z194" s="1483"/>
      <c r="AA194" s="2030" t="s">
        <v>91</v>
      </c>
      <c r="AB194" s="2386"/>
      <c r="AC194" s="1501"/>
      <c r="AD194" s="2089" t="s">
        <v>50</v>
      </c>
      <c r="AE194" s="2089" t="s">
        <v>48</v>
      </c>
      <c r="AF194" s="1481"/>
      <c r="AG194" s="1723" t="s">
        <v>91</v>
      </c>
      <c r="AH194" s="1491"/>
      <c r="AI194" s="1713"/>
    </row>
    <row r="195" spans="1:63" s="1822" customFormat="1" ht="15" customHeight="1">
      <c r="D195" s="2387"/>
      <c r="E195" s="2081"/>
      <c r="F195" s="2081"/>
      <c r="G195" s="2090"/>
      <c r="H195" s="1483"/>
      <c r="I195" s="2388"/>
      <c r="J195" s="2362"/>
      <c r="K195" s="1482"/>
      <c r="L195" s="2090"/>
      <c r="M195" s="2090"/>
      <c r="N195" s="1483"/>
      <c r="O195" s="2030"/>
      <c r="P195" s="2382"/>
      <c r="Q195" s="1479"/>
      <c r="R195" s="2090"/>
      <c r="S195" s="2090"/>
      <c r="T195" s="1766"/>
      <c r="U195" s="2030"/>
      <c r="V195" s="2385"/>
      <c r="W195" s="1480"/>
      <c r="X195" s="2090"/>
      <c r="Y195" s="2090"/>
      <c r="Z195" s="1483"/>
      <c r="AA195" s="2030"/>
      <c r="AB195" s="2328"/>
      <c r="AC195" s="1484"/>
      <c r="AD195" s="2034"/>
      <c r="AE195" s="2034"/>
      <c r="AF195" s="1485"/>
      <c r="AG195" s="1486"/>
      <c r="AH195" s="2390" t="s">
        <v>1132</v>
      </c>
      <c r="AI195" s="2391"/>
    </row>
    <row r="196" spans="1:63" s="1822" customFormat="1" ht="15" customHeight="1">
      <c r="D196" s="2387"/>
      <c r="E196" s="2081"/>
      <c r="F196" s="2081"/>
      <c r="G196" s="2090"/>
      <c r="H196" s="1483"/>
      <c r="I196" s="2388"/>
      <c r="J196" s="2362"/>
      <c r="K196" s="1482"/>
      <c r="L196" s="2090"/>
      <c r="M196" s="2090"/>
      <c r="N196" s="1483"/>
      <c r="O196" s="2030"/>
      <c r="P196" s="2382"/>
      <c r="Q196" s="1479"/>
      <c r="R196" s="2090"/>
      <c r="S196" s="2090"/>
      <c r="T196" s="1766"/>
      <c r="U196" s="2030"/>
      <c r="V196" s="2385"/>
      <c r="W196" s="1480"/>
      <c r="X196" s="2090"/>
      <c r="Y196" s="2090"/>
      <c r="Z196" s="1522"/>
      <c r="AA196" s="1488"/>
      <c r="AB196" s="2392" t="s">
        <v>1133</v>
      </c>
      <c r="AC196" s="2392"/>
      <c r="AD196" s="2392"/>
      <c r="AE196" s="2392"/>
      <c r="AF196" s="2392"/>
      <c r="AG196" s="2392"/>
      <c r="AH196" s="2392"/>
      <c r="AI196" s="2393"/>
    </row>
    <row r="197" spans="1:63" s="1822" customFormat="1" ht="15" customHeight="1">
      <c r="D197" s="2387"/>
      <c r="E197" s="2081"/>
      <c r="F197" s="2081"/>
      <c r="G197" s="2090"/>
      <c r="H197" s="1483"/>
      <c r="I197" s="2388"/>
      <c r="J197" s="2362"/>
      <c r="K197" s="1482"/>
      <c r="L197" s="2090"/>
      <c r="M197" s="2090"/>
      <c r="N197" s="1483"/>
      <c r="O197" s="2030"/>
      <c r="P197" s="2394"/>
      <c r="Q197" s="1479"/>
      <c r="R197" s="2090"/>
      <c r="S197" s="2090"/>
      <c r="T197" s="1767"/>
      <c r="U197" s="1523"/>
      <c r="V197" s="2390" t="s">
        <v>85</v>
      </c>
      <c r="W197" s="2390"/>
      <c r="X197" s="2390"/>
      <c r="Y197" s="2390"/>
      <c r="Z197" s="2390"/>
      <c r="AA197" s="2390"/>
      <c r="AB197" s="2390"/>
      <c r="AC197" s="2390"/>
      <c r="AD197" s="2390"/>
      <c r="AE197" s="2390"/>
      <c r="AF197" s="2390"/>
      <c r="AG197" s="2390"/>
      <c r="AH197" s="2390"/>
      <c r="AI197" s="2391"/>
    </row>
    <row r="198" spans="1:63" s="1822" customFormat="1" ht="11.25" customHeight="1">
      <c r="D198" s="2387"/>
      <c r="E198" s="2081"/>
      <c r="F198" s="2081"/>
      <c r="G198" s="2090"/>
      <c r="H198" s="1487"/>
      <c r="I198" s="2388"/>
      <c r="J198" s="2389"/>
      <c r="K198" s="1482"/>
      <c r="L198" s="2090"/>
      <c r="M198" s="2090"/>
      <c r="N198" s="1487"/>
      <c r="O198" s="1488"/>
      <c r="P198" s="2390" t="s">
        <v>1134</v>
      </c>
      <c r="Q198" s="2390"/>
      <c r="R198" s="2390"/>
      <c r="S198" s="2390"/>
      <c r="T198" s="2390"/>
      <c r="U198" s="2390"/>
      <c r="V198" s="2390"/>
      <c r="W198" s="2390"/>
      <c r="X198" s="2390"/>
      <c r="Y198" s="2390"/>
      <c r="Z198" s="2390"/>
      <c r="AA198" s="2390"/>
      <c r="AB198" s="2390"/>
      <c r="AC198" s="2390"/>
      <c r="AD198" s="2390"/>
      <c r="AE198" s="2390"/>
      <c r="AF198" s="2390"/>
      <c r="AG198" s="2390"/>
      <c r="AH198" s="2390"/>
      <c r="AI198" s="2391"/>
    </row>
    <row r="199" spans="1:63" s="1853" customFormat="1" ht="11.25" customHeight="1">
      <c r="D199" s="2387"/>
      <c r="E199" s="2081"/>
      <c r="F199" s="2081"/>
      <c r="G199" s="2034"/>
      <c r="H199" s="1489"/>
      <c r="I199" s="1490"/>
      <c r="J199" s="2390" t="s">
        <v>418</v>
      </c>
      <c r="K199" s="2390"/>
      <c r="L199" s="2390"/>
      <c r="M199" s="2390"/>
      <c r="N199" s="2390"/>
      <c r="O199" s="2390"/>
      <c r="P199" s="2390"/>
      <c r="Q199" s="2390"/>
      <c r="R199" s="2390"/>
      <c r="S199" s="2390"/>
      <c r="T199" s="2390"/>
      <c r="U199" s="2390"/>
      <c r="V199" s="2390"/>
      <c r="W199" s="2390"/>
      <c r="X199" s="2390"/>
      <c r="Y199" s="2390"/>
      <c r="Z199" s="2390"/>
      <c r="AA199" s="2390"/>
      <c r="AB199" s="2390"/>
      <c r="AC199" s="2390"/>
      <c r="AD199" s="2390"/>
      <c r="AE199" s="2390"/>
      <c r="AF199" s="2390"/>
      <c r="AG199" s="2390"/>
      <c r="AH199" s="2390"/>
      <c r="AI199" s="2391"/>
      <c r="BK199" s="1493"/>
    </row>
    <row r="200" spans="1:63" ht="17.25" customHeight="1">
      <c r="G200" s="1749"/>
      <c r="I200" s="1749"/>
      <c r="J200" s="1749"/>
      <c r="N200" s="1745"/>
    </row>
    <row r="201" spans="1:63" s="1822" customFormat="1" ht="15" customHeight="1">
      <c r="D201" s="2387"/>
      <c r="E201" s="2081"/>
      <c r="F201" s="2081"/>
      <c r="G201" s="2086"/>
      <c r="H201" s="1518"/>
      <c r="I201" s="2091"/>
      <c r="J201" s="2050"/>
      <c r="K201" s="1697"/>
      <c r="L201" s="2037"/>
      <c r="M201" s="2037"/>
      <c r="N201" s="1503"/>
      <c r="O201" s="2037"/>
      <c r="P201" s="2050"/>
      <c r="Q201" s="1701"/>
      <c r="R201" s="2037"/>
      <c r="S201" s="2037"/>
      <c r="T201" s="1768"/>
      <c r="U201" s="2037"/>
      <c r="V201" s="2050"/>
      <c r="W201" s="1506"/>
      <c r="X201" s="2037"/>
      <c r="Y201" s="2037"/>
      <c r="Z201" s="1503"/>
      <c r="AA201" s="2037"/>
      <c r="AB201" s="2050"/>
      <c r="AC201" s="1507"/>
      <c r="AD201" s="2037"/>
      <c r="AE201" s="2037"/>
      <c r="AF201" s="1695"/>
      <c r="AG201" s="1695"/>
      <c r="AH201" s="1508"/>
      <c r="AI201" s="1217"/>
    </row>
    <row r="202" spans="1:63" s="1822" customFormat="1" ht="15" customHeight="1">
      <c r="D202" s="2387"/>
      <c r="E202" s="2081"/>
      <c r="F202" s="2081"/>
      <c r="G202" s="2086"/>
      <c r="H202" s="1519"/>
      <c r="I202" s="2092"/>
      <c r="J202" s="2051"/>
      <c r="K202" s="1527"/>
      <c r="L202" s="2038"/>
      <c r="M202" s="2038"/>
      <c r="N202" s="1509"/>
      <c r="O202" s="2038"/>
      <c r="P202" s="2051"/>
      <c r="Q202" s="1702"/>
      <c r="R202" s="2038"/>
      <c r="S202" s="2038"/>
      <c r="T202" s="1769"/>
      <c r="U202" s="2038"/>
      <c r="V202" s="2051"/>
      <c r="W202" s="1512"/>
      <c r="X202" s="2038"/>
      <c r="Y202" s="2038"/>
      <c r="Z202" s="1509"/>
      <c r="AA202" s="2038"/>
      <c r="AB202" s="2051"/>
      <c r="AC202" s="1513"/>
      <c r="AD202" s="2038"/>
      <c r="AE202" s="2038"/>
      <c r="AF202" s="1700"/>
      <c r="AG202" s="1700"/>
      <c r="AH202" s="2095"/>
      <c r="AI202" s="2096"/>
    </row>
    <row r="203" spans="1:63" s="1822" customFormat="1" ht="15" customHeight="1">
      <c r="D203" s="2387"/>
      <c r="E203" s="2081"/>
      <c r="F203" s="2081"/>
      <c r="G203" s="2086"/>
      <c r="H203" s="1519"/>
      <c r="I203" s="2092"/>
      <c r="J203" s="2051"/>
      <c r="K203" s="1527"/>
      <c r="L203" s="2038"/>
      <c r="M203" s="2038"/>
      <c r="N203" s="1509"/>
      <c r="O203" s="2038"/>
      <c r="P203" s="2051"/>
      <c r="Q203" s="1702"/>
      <c r="R203" s="2038"/>
      <c r="S203" s="2038"/>
      <c r="T203" s="1769"/>
      <c r="U203" s="2038"/>
      <c r="V203" s="2051"/>
      <c r="W203" s="1512"/>
      <c r="X203" s="2038"/>
      <c r="Y203" s="2038"/>
      <c r="Z203" s="1698"/>
      <c r="AA203" s="1700"/>
      <c r="AB203" s="2095"/>
      <c r="AC203" s="2095"/>
      <c r="AD203" s="2095"/>
      <c r="AE203" s="2095"/>
      <c r="AF203" s="2095"/>
      <c r="AG203" s="2095"/>
      <c r="AH203" s="2095"/>
      <c r="AI203" s="2096"/>
    </row>
    <row r="204" spans="1:63" s="1822" customFormat="1" ht="15" customHeight="1">
      <c r="D204" s="2387"/>
      <c r="E204" s="2081"/>
      <c r="F204" s="2081"/>
      <c r="G204" s="2086"/>
      <c r="H204" s="1519"/>
      <c r="I204" s="2092"/>
      <c r="J204" s="2051"/>
      <c r="K204" s="1527"/>
      <c r="L204" s="2038"/>
      <c r="M204" s="2038"/>
      <c r="N204" s="1509"/>
      <c r="O204" s="2038"/>
      <c r="P204" s="2051"/>
      <c r="Q204" s="1702"/>
      <c r="R204" s="2038"/>
      <c r="S204" s="2038"/>
      <c r="T204" s="1770"/>
      <c r="U204" s="1516"/>
      <c r="V204" s="2095"/>
      <c r="W204" s="2095"/>
      <c r="X204" s="2095"/>
      <c r="Y204" s="2095"/>
      <c r="Z204" s="2095"/>
      <c r="AA204" s="2095"/>
      <c r="AB204" s="2095"/>
      <c r="AC204" s="2095"/>
      <c r="AD204" s="2095"/>
      <c r="AE204" s="2095"/>
      <c r="AF204" s="2095"/>
      <c r="AG204" s="2095"/>
      <c r="AH204" s="2095"/>
      <c r="AI204" s="2096"/>
    </row>
    <row r="205" spans="1:63" s="1822" customFormat="1" ht="11.25" customHeight="1">
      <c r="D205" s="2387"/>
      <c r="E205" s="2081"/>
      <c r="F205" s="2081"/>
      <c r="G205" s="2086"/>
      <c r="H205" s="1520"/>
      <c r="I205" s="2092"/>
      <c r="J205" s="2051"/>
      <c r="K205" s="1527"/>
      <c r="L205" s="2038"/>
      <c r="M205" s="2038"/>
      <c r="N205" s="1700"/>
      <c r="O205" s="1700"/>
      <c r="P205" s="2095"/>
      <c r="Q205" s="2095"/>
      <c r="R205" s="2095"/>
      <c r="S205" s="2095"/>
      <c r="T205" s="2095"/>
      <c r="U205" s="2095"/>
      <c r="V205" s="2095"/>
      <c r="W205" s="2095"/>
      <c r="X205" s="2095"/>
      <c r="Y205" s="2095"/>
      <c r="Z205" s="2095"/>
      <c r="AA205" s="2095"/>
      <c r="AB205" s="2095"/>
      <c r="AC205" s="2095"/>
      <c r="AD205" s="2095"/>
      <c r="AE205" s="2095"/>
      <c r="AF205" s="2095"/>
      <c r="AG205" s="2095"/>
      <c r="AH205" s="2095"/>
      <c r="AI205" s="2096"/>
    </row>
    <row r="206" spans="1:63" s="1853" customFormat="1" ht="11.25" customHeight="1">
      <c r="D206" s="2387"/>
      <c r="E206" s="2081"/>
      <c r="F206" s="2081"/>
      <c r="G206" s="2097"/>
      <c r="H206" s="1517"/>
      <c r="I206" s="1521"/>
      <c r="J206" s="2093"/>
      <c r="K206" s="2093"/>
      <c r="L206" s="2093"/>
      <c r="M206" s="2093"/>
      <c r="N206" s="2093"/>
      <c r="O206" s="2093"/>
      <c r="P206" s="2093"/>
      <c r="Q206" s="2093"/>
      <c r="R206" s="2093"/>
      <c r="S206" s="2093"/>
      <c r="T206" s="2093"/>
      <c r="U206" s="2093"/>
      <c r="V206" s="2093"/>
      <c r="W206" s="2093"/>
      <c r="X206" s="2093"/>
      <c r="Y206" s="2093"/>
      <c r="Z206" s="2093"/>
      <c r="AA206" s="2093"/>
      <c r="AB206" s="2093"/>
      <c r="AC206" s="2093"/>
      <c r="AD206" s="2093"/>
      <c r="AE206" s="2093"/>
      <c r="AF206" s="2093"/>
      <c r="AG206" s="2093"/>
      <c r="AH206" s="2093"/>
      <c r="AI206" s="2094"/>
      <c r="BK206" s="1493"/>
    </row>
    <row r="207" spans="1:63" ht="17.25" customHeight="1">
      <c r="A207" s="1761"/>
    </row>
  </sheetData>
  <sheetProtection formatColumns="0" formatRows="0" insertRows="0" deleteColumns="0" deleteRows="0" sort="0" autoFilter="0"/>
  <mergeCells count="285">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S83:S85"/>
    <mergeCell ref="T83:T85"/>
    <mergeCell ref="U83:U85"/>
    <mergeCell ref="V83:V85"/>
    <mergeCell ref="W83:W85"/>
    <mergeCell ref="X83:X85"/>
    <mergeCell ref="Y83:Y85"/>
    <mergeCell ref="H93:H97"/>
    <mergeCell ref="I93:I97"/>
    <mergeCell ref="J93:J97"/>
    <mergeCell ref="K93:K97"/>
    <mergeCell ref="L93:L97"/>
    <mergeCell ref="M93:M97"/>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D201:D206"/>
    <mergeCell ref="E201:E206"/>
    <mergeCell ref="F201:F206"/>
    <mergeCell ref="G201:G206"/>
    <mergeCell ref="I201:I205"/>
    <mergeCell ref="J201:J205"/>
    <mergeCell ref="L201:L205"/>
    <mergeCell ref="M201:M205"/>
    <mergeCell ref="O201:O204"/>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W168:W169"/>
    <mergeCell ref="D168:D172"/>
    <mergeCell ref="E168:E172"/>
    <mergeCell ref="F168:F172"/>
    <mergeCell ref="G168:G172"/>
    <mergeCell ref="H168:H171"/>
    <mergeCell ref="I168:I171"/>
    <mergeCell ref="J168:J171"/>
    <mergeCell ref="K168:K171"/>
    <mergeCell ref="L168:L170"/>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Y64:Y65"/>
    <mergeCell ref="S64:S65"/>
    <mergeCell ref="T64:T65"/>
    <mergeCell ref="M64:M65"/>
    <mergeCell ref="N64:N65"/>
    <mergeCell ref="O64:O65"/>
    <mergeCell ref="Q64:Q65"/>
    <mergeCell ref="R64:R65"/>
    <mergeCell ref="W64:W65"/>
    <mergeCell ref="X64:X65"/>
    <mergeCell ref="P64:P65"/>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963" customWidth="1"/>
    <col min="2" max="2" width="11" style="1964" customWidth="1"/>
    <col min="3" max="3" width="9.140625" style="1964"/>
    <col min="4" max="4" width="26.5703125" style="1964" customWidth="1"/>
    <col min="5" max="5" width="27.7109375" style="1961" customWidth="1"/>
    <col min="6" max="6" width="23.5703125" style="1961" customWidth="1"/>
    <col min="7" max="7" width="31.42578125" style="1961" customWidth="1"/>
    <col min="8" max="8" width="40.85546875" style="1961" customWidth="1"/>
    <col min="9" max="9" width="14.5703125" style="1961" customWidth="1"/>
    <col min="10" max="10" width="26.85546875" style="1961" customWidth="1"/>
    <col min="11" max="11" width="50" style="1961" customWidth="1"/>
    <col min="12" max="12" width="52.42578125" style="1961" customWidth="1"/>
    <col min="13" max="13" width="10.7109375" style="1961" customWidth="1"/>
    <col min="14" max="14" width="55.140625" style="1961" customWidth="1"/>
    <col min="15" max="15" width="31.85546875" style="1961" customWidth="1"/>
    <col min="16" max="16" width="23.85546875" style="1961" customWidth="1"/>
    <col min="17" max="17" width="46.5703125" style="1961" customWidth="1"/>
    <col min="18" max="18" width="24" style="1961" customWidth="1"/>
    <col min="19" max="19" width="20.5703125" style="1961" customWidth="1"/>
    <col min="20" max="20" width="22" style="1961" customWidth="1"/>
    <col min="21" max="22" width="26.42578125" style="1961" customWidth="1"/>
    <col min="23" max="23" width="8.28515625" style="1961" hidden="1" customWidth="1"/>
    <col min="24" max="24" width="59.7109375" style="1961" customWidth="1"/>
    <col min="25" max="25" width="49.140625" style="1961" customWidth="1"/>
    <col min="26" max="26" width="11.140625" style="1961" customWidth="1"/>
    <col min="27" max="30" width="29" style="1961" customWidth="1"/>
    <col min="31" max="31" width="9.140625" style="1961"/>
    <col min="32" max="32" width="34.7109375" style="1961" customWidth="1"/>
    <col min="33" max="33" width="9.140625" style="1961"/>
    <col min="34" max="35" width="34.42578125" style="1961" customWidth="1"/>
    <col min="36" max="36" width="9.140625" style="1961"/>
    <col min="37" max="37" width="24.5703125" style="1961" customWidth="1"/>
    <col min="38" max="38" width="9.140625" style="1961"/>
    <col min="39" max="39" width="26.140625" style="1961" customWidth="1"/>
    <col min="40" max="40" width="1.7109375" style="1961" customWidth="1"/>
    <col min="41" max="41" width="9.140625" style="1961"/>
    <col min="42" max="43" width="47.85546875" style="1961" customWidth="1"/>
    <col min="44" max="44" width="1.7109375" style="1961" customWidth="1"/>
    <col min="45" max="45" width="21.42578125" style="1961" customWidth="1"/>
    <col min="46" max="46" width="1.7109375" style="1961" customWidth="1"/>
    <col min="47" max="47" width="31.28515625" style="1961" customWidth="1"/>
    <col min="48" max="48" width="1.7109375" style="1961" customWidth="1"/>
    <col min="49" max="50" width="9.140625" style="1965"/>
    <col min="51" max="51" width="3.7109375" style="1961" customWidth="1"/>
    <col min="52" max="52" width="55" style="1961" customWidth="1"/>
    <col min="53" max="53" width="9.140625" style="1961"/>
    <col min="54" max="54" width="35.140625" style="1961" customWidth="1"/>
    <col min="55" max="55" width="9.140625" style="1961"/>
    <col min="56" max="56" width="1.7109375" style="1961" customWidth="1"/>
    <col min="57" max="57" width="12.5703125" style="1966" customWidth="1"/>
    <col min="58" max="58" width="14.28515625" style="1966" customWidth="1"/>
    <col min="59" max="59" width="30.7109375" style="1961" customWidth="1"/>
    <col min="60" max="60" width="40.7109375" style="1960" customWidth="1"/>
    <col min="61" max="61" width="15" style="1960" customWidth="1"/>
    <col min="62" max="62" width="40.7109375" style="1960" customWidth="1"/>
    <col min="63" max="63" width="2.7109375" style="1960" customWidth="1"/>
    <col min="64" max="64" width="44.7109375" style="1960" customWidth="1"/>
    <col min="65" max="65" width="2.7109375" style="1960" customWidth="1"/>
    <col min="66" max="66" width="40.7109375" style="1960" customWidth="1"/>
    <col min="67" max="68" width="9.140625" style="1961"/>
    <col min="69" max="69" width="18.140625" style="1961" customWidth="1"/>
    <col min="70" max="70" width="57.85546875" style="1961" customWidth="1"/>
    <col min="71" max="71" width="1.7109375" style="1962" customWidth="1"/>
    <col min="72" max="72" width="22.5703125" style="1961" customWidth="1"/>
    <col min="73" max="73" width="57.85546875" style="1961" customWidth="1"/>
    <col min="74" max="74" width="1.7109375" style="1961" customWidth="1"/>
    <col min="75" max="75" width="22.5703125" style="1961" customWidth="1"/>
    <col min="76" max="76" width="57.85546875" style="1961" customWidth="1"/>
    <col min="77" max="77" width="1.7109375" style="1961" customWidth="1"/>
    <col min="78" max="78" width="22.5703125" style="1961" customWidth="1"/>
    <col min="79" max="79" width="57.85546875" style="1961" customWidth="1"/>
    <col min="80" max="81" width="9.140625" style="1961"/>
    <col min="82" max="82" width="49.5703125" style="1961" customWidth="1"/>
  </cols>
  <sheetData>
    <row r="1" spans="1:79" s="1959" customFormat="1" ht="11.25" customHeight="1">
      <c r="A1" s="974" t="s">
        <v>1135</v>
      </c>
      <c r="B1" s="974" t="s">
        <v>1136</v>
      </c>
      <c r="C1" s="974" t="s">
        <v>1137</v>
      </c>
      <c r="D1" s="974" t="s">
        <v>1138</v>
      </c>
      <c r="E1" s="974" t="s">
        <v>1139</v>
      </c>
      <c r="F1" s="974" t="s">
        <v>1140</v>
      </c>
      <c r="G1" s="974" t="s">
        <v>1141</v>
      </c>
      <c r="H1" s="974" t="s">
        <v>1142</v>
      </c>
      <c r="I1" s="974" t="s">
        <v>1143</v>
      </c>
      <c r="J1" s="974" t="s">
        <v>1144</v>
      </c>
      <c r="K1" s="974" t="s">
        <v>1145</v>
      </c>
      <c r="L1" s="974" t="s">
        <v>1146</v>
      </c>
      <c r="M1" s="974"/>
      <c r="N1" s="974" t="s">
        <v>1147</v>
      </c>
      <c r="O1" s="974" t="s">
        <v>1148</v>
      </c>
      <c r="P1" s="974" t="s">
        <v>1149</v>
      </c>
      <c r="Q1" s="974" t="s">
        <v>1150</v>
      </c>
      <c r="R1" s="974" t="s">
        <v>1151</v>
      </c>
      <c r="S1" s="974" t="s">
        <v>1152</v>
      </c>
      <c r="T1" s="974" t="s">
        <v>1153</v>
      </c>
      <c r="U1" s="974" t="s">
        <v>1154</v>
      </c>
      <c r="V1" s="974"/>
      <c r="W1" s="715" t="s">
        <v>1155</v>
      </c>
      <c r="X1" s="974" t="s">
        <v>1156</v>
      </c>
      <c r="Y1" s="974" t="s">
        <v>1157</v>
      </c>
      <c r="Z1" s="974"/>
      <c r="AA1" s="974" t="s">
        <v>1158</v>
      </c>
      <c r="AB1" s="974"/>
      <c r="AC1" s="974" t="s">
        <v>1159</v>
      </c>
      <c r="AD1" s="974"/>
      <c r="AF1" s="974" t="s">
        <v>1160</v>
      </c>
      <c r="AH1" s="974" t="s">
        <v>1161</v>
      </c>
      <c r="AI1" s="974" t="s">
        <v>1162</v>
      </c>
      <c r="AK1" s="974" t="s">
        <v>1163</v>
      </c>
      <c r="AM1" s="974" t="s">
        <v>1164</v>
      </c>
      <c r="AP1" s="974" t="s">
        <v>1165</v>
      </c>
      <c r="AQ1" s="974" t="s">
        <v>1166</v>
      </c>
      <c r="AS1" s="974" t="s">
        <v>1167</v>
      </c>
      <c r="AU1" s="974" t="s">
        <v>1168</v>
      </c>
      <c r="AW1" s="974" t="s">
        <v>1169</v>
      </c>
      <c r="AX1" s="974" t="s">
        <v>1170</v>
      </c>
      <c r="AZ1" s="1054" t="s">
        <v>1171</v>
      </c>
      <c r="BB1" s="974" t="s">
        <v>1172</v>
      </c>
      <c r="BC1" s="974"/>
      <c r="BE1" s="974" t="s">
        <v>1173</v>
      </c>
      <c r="BF1" s="974" t="s">
        <v>1174</v>
      </c>
      <c r="BH1" s="976" t="s">
        <v>684</v>
      </c>
      <c r="BI1" s="977"/>
      <c r="BJ1" s="978" t="s">
        <v>1175</v>
      </c>
      <c r="BK1" s="977"/>
      <c r="BL1" s="979" t="s">
        <v>782</v>
      </c>
      <c r="BM1" s="977"/>
      <c r="BN1" s="980" t="s">
        <v>1176</v>
      </c>
      <c r="BS1" s="1344"/>
    </row>
    <row r="2" spans="1:79" ht="11.25" customHeight="1">
      <c r="A2" s="981" t="s">
        <v>1177</v>
      </c>
      <c r="B2" s="982">
        <v>2000</v>
      </c>
      <c r="C2" s="982">
        <v>2022</v>
      </c>
      <c r="D2" s="982" t="s">
        <v>50</v>
      </c>
      <c r="E2" s="983" t="s">
        <v>1178</v>
      </c>
      <c r="F2" s="983" t="s">
        <v>1179</v>
      </c>
      <c r="G2" s="983" t="s">
        <v>1180</v>
      </c>
      <c r="H2" s="984" t="s">
        <v>1181</v>
      </c>
      <c r="I2" s="983" t="s">
        <v>91</v>
      </c>
      <c r="J2" s="983" t="s">
        <v>1182</v>
      </c>
      <c r="K2" s="985" t="s">
        <v>1183</v>
      </c>
      <c r="L2" s="986"/>
      <c r="M2" s="985">
        <v>1</v>
      </c>
      <c r="N2" s="1064" t="s">
        <v>1184</v>
      </c>
      <c r="O2" s="984" t="s">
        <v>1185</v>
      </c>
      <c r="P2" s="987" t="s">
        <v>33</v>
      </c>
      <c r="Q2" s="988" t="s">
        <v>1186</v>
      </c>
      <c r="R2" s="68" t="s">
        <v>1187</v>
      </c>
      <c r="S2" s="68" t="s">
        <v>1188</v>
      </c>
      <c r="T2" s="989" t="s">
        <v>1189</v>
      </c>
      <c r="U2" s="986" t="s">
        <v>1190</v>
      </c>
      <c r="V2" s="990">
        <v>1</v>
      </c>
      <c r="W2" s="991"/>
      <c r="X2" s="991" t="s">
        <v>1191</v>
      </c>
      <c r="Y2" s="982" t="s">
        <v>1192</v>
      </c>
      <c r="Z2" s="992"/>
      <c r="AA2" s="982" t="s">
        <v>1193</v>
      </c>
      <c r="AB2" s="993" t="s">
        <v>1193</v>
      </c>
      <c r="AC2" s="982" t="s">
        <v>1194</v>
      </c>
      <c r="AD2" s="993" t="s">
        <v>1194</v>
      </c>
      <c r="AF2" s="984" t="s">
        <v>1190</v>
      </c>
      <c r="AH2" s="983" t="s">
        <v>1195</v>
      </c>
      <c r="AI2" s="983" t="s">
        <v>1195</v>
      </c>
      <c r="AK2" s="983" t="s">
        <v>1196</v>
      </c>
      <c r="AM2" s="983" t="s">
        <v>1197</v>
      </c>
      <c r="AP2" s="994" t="s">
        <v>1191</v>
      </c>
      <c r="AQ2" s="995" t="s">
        <v>1191</v>
      </c>
      <c r="AS2" s="982" t="s">
        <v>1198</v>
      </c>
      <c r="AU2" s="1025" t="s">
        <v>1199</v>
      </c>
      <c r="AW2" s="1025" t="s">
        <v>1200</v>
      </c>
      <c r="AX2" s="1025" t="s">
        <v>1200</v>
      </c>
      <c r="AZ2" s="1025" t="s">
        <v>1201</v>
      </c>
      <c r="BB2" s="1025" t="s">
        <v>1202</v>
      </c>
      <c r="BC2" s="1025" t="s">
        <v>1203</v>
      </c>
      <c r="BE2" s="1025">
        <v>2000</v>
      </c>
      <c r="BF2" s="1025" t="s">
        <v>1204</v>
      </c>
    </row>
    <row r="3" spans="1:79" ht="11.25" customHeight="1">
      <c r="A3" s="981" t="s">
        <v>1205</v>
      </c>
      <c r="B3" s="982">
        <v>2001</v>
      </c>
      <c r="C3" s="982">
        <v>2023</v>
      </c>
      <c r="D3" s="982" t="s">
        <v>48</v>
      </c>
      <c r="E3" s="983" t="s">
        <v>1206</v>
      </c>
      <c r="F3" s="983" t="s">
        <v>1207</v>
      </c>
      <c r="G3" s="983" t="s">
        <v>1208</v>
      </c>
      <c r="H3" s="984" t="s">
        <v>1209</v>
      </c>
      <c r="I3" s="983" t="s">
        <v>92</v>
      </c>
      <c r="J3" s="983" t="s">
        <v>518</v>
      </c>
      <c r="K3" s="985" t="s">
        <v>1210</v>
      </c>
      <c r="L3" s="986">
        <f>IFERROR(MATCH(K3,OFFER_METHOD,0),0)</f>
        <v>0</v>
      </c>
      <c r="M3" s="985">
        <v>2</v>
      </c>
      <c r="N3" s="1064" t="s">
        <v>1211</v>
      </c>
      <c r="O3" s="984" t="s">
        <v>1212</v>
      </c>
      <c r="P3" s="987" t="s">
        <v>1213</v>
      </c>
      <c r="Q3" s="988" t="s">
        <v>1214</v>
      </c>
      <c r="R3" s="68" t="s">
        <v>1215</v>
      </c>
      <c r="S3" s="68" t="s">
        <v>1216</v>
      </c>
      <c r="T3" s="989" t="s">
        <v>1217</v>
      </c>
      <c r="U3" s="986" t="s">
        <v>1218</v>
      </c>
      <c r="V3" s="990">
        <v>2</v>
      </c>
      <c r="W3" s="991"/>
      <c r="X3" s="991" t="s">
        <v>1219</v>
      </c>
      <c r="Y3" s="982" t="s">
        <v>1192</v>
      </c>
      <c r="Z3" s="992"/>
      <c r="AA3" s="982" t="s">
        <v>1220</v>
      </c>
      <c r="AB3" s="993" t="s">
        <v>1220</v>
      </c>
      <c r="AC3" s="982" t="s">
        <v>1221</v>
      </c>
      <c r="AD3" s="993" t="s">
        <v>1221</v>
      </c>
      <c r="AF3" s="984" t="s">
        <v>1218</v>
      </c>
      <c r="AH3" s="983" t="s">
        <v>1222</v>
      </c>
      <c r="AI3" s="983" t="s">
        <v>1223</v>
      </c>
      <c r="AK3" s="983" t="s">
        <v>1224</v>
      </c>
      <c r="AM3" s="983" t="s">
        <v>1225</v>
      </c>
      <c r="AP3" s="994" t="s">
        <v>1226</v>
      </c>
      <c r="AQ3" s="995" t="s">
        <v>1226</v>
      </c>
      <c r="AS3" s="982" t="s">
        <v>1227</v>
      </c>
      <c r="AU3" s="1025" t="s">
        <v>1228</v>
      </c>
      <c r="AW3" s="1025" t="s">
        <v>1229</v>
      </c>
      <c r="AX3" s="1025" t="s">
        <v>1229</v>
      </c>
      <c r="AZ3" s="1025" t="s">
        <v>1230</v>
      </c>
      <c r="BB3" s="1025" t="s">
        <v>1231</v>
      </c>
      <c r="BC3" s="1025" t="s">
        <v>1203</v>
      </c>
      <c r="BE3" s="1025">
        <v>2001</v>
      </c>
      <c r="BF3" s="1025" t="s">
        <v>1232</v>
      </c>
      <c r="BH3" s="974" t="s">
        <v>1233</v>
      </c>
      <c r="BJ3" s="974" t="s">
        <v>1234</v>
      </c>
      <c r="BL3" s="974" t="s">
        <v>1235</v>
      </c>
      <c r="BN3" s="974" t="s">
        <v>1236</v>
      </c>
      <c r="BR3" s="974" t="s">
        <v>1237</v>
      </c>
      <c r="BS3" s="1345"/>
      <c r="BT3" s="977"/>
      <c r="BU3" s="974" t="s">
        <v>1238</v>
      </c>
      <c r="BV3" s="977"/>
      <c r="BW3" s="1603"/>
      <c r="BX3" s="1605" t="s">
        <v>1239</v>
      </c>
      <c r="CA3" s="974" t="s">
        <v>1240</v>
      </c>
    </row>
    <row r="4" spans="1:79" ht="11.25" customHeight="1">
      <c r="A4" s="981" t="s">
        <v>1241</v>
      </c>
      <c r="B4" s="982">
        <v>2002</v>
      </c>
      <c r="C4" s="982">
        <v>2024</v>
      </c>
      <c r="E4" s="983" t="s">
        <v>1242</v>
      </c>
      <c r="F4" s="983" t="s">
        <v>1243</v>
      </c>
      <c r="H4" s="984" t="s">
        <v>1244</v>
      </c>
      <c r="I4" s="983" t="s">
        <v>75</v>
      </c>
      <c r="J4" s="983" t="s">
        <v>1245</v>
      </c>
      <c r="K4" s="985" t="s">
        <v>1246</v>
      </c>
      <c r="L4" s="986">
        <f>IFERROR(MATCH(K4,OFFER_METHOD,0),0)</f>
        <v>0</v>
      </c>
      <c r="M4" s="985">
        <v>3</v>
      </c>
      <c r="N4" s="1064" t="s">
        <v>1247</v>
      </c>
      <c r="O4" s="983" t="s">
        <v>1248</v>
      </c>
      <c r="Q4" s="988" t="s">
        <v>1249</v>
      </c>
      <c r="R4" s="68" t="s">
        <v>1250</v>
      </c>
      <c r="S4" s="68" t="s">
        <v>1251</v>
      </c>
      <c r="T4" s="989" t="s">
        <v>1252</v>
      </c>
      <c r="U4" s="986" t="s">
        <v>1253</v>
      </c>
      <c r="V4" s="990">
        <v>3</v>
      </c>
      <c r="W4" s="991"/>
      <c r="X4" s="991" t="s">
        <v>1254</v>
      </c>
      <c r="Y4" s="982" t="s">
        <v>1192</v>
      </c>
      <c r="Z4" s="997"/>
      <c r="AC4" s="982" t="s">
        <v>1255</v>
      </c>
      <c r="AD4" s="993" t="s">
        <v>1255</v>
      </c>
      <c r="AF4" s="984" t="s">
        <v>1253</v>
      </c>
      <c r="AH4" s="984" t="s">
        <v>1256</v>
      </c>
      <c r="AK4" s="983" t="s">
        <v>1257</v>
      </c>
      <c r="AM4" s="983" t="s">
        <v>1258</v>
      </c>
      <c r="AP4" s="994" t="s">
        <v>1219</v>
      </c>
      <c r="AQ4" s="995" t="s">
        <v>1219</v>
      </c>
      <c r="AS4" s="982" t="s">
        <v>1259</v>
      </c>
      <c r="AU4" s="1025" t="s">
        <v>1260</v>
      </c>
      <c r="AW4" s="1025" t="s">
        <v>1261</v>
      </c>
      <c r="AX4" s="1025" t="s">
        <v>1261</v>
      </c>
      <c r="AZ4" s="1025" t="s">
        <v>1262</v>
      </c>
      <c r="BB4" s="1025" t="s">
        <v>1263</v>
      </c>
      <c r="BC4" s="1025" t="s">
        <v>1264</v>
      </c>
      <c r="BE4" s="1025">
        <v>2002</v>
      </c>
      <c r="BF4" s="1025" t="s">
        <v>1265</v>
      </c>
      <c r="BH4" s="975" t="s">
        <v>1266</v>
      </c>
      <c r="BJ4" s="975" t="s">
        <v>1266</v>
      </c>
      <c r="BL4" s="975" t="s">
        <v>1266</v>
      </c>
      <c r="BN4" s="975" t="s">
        <v>1266</v>
      </c>
      <c r="BQ4" s="1349" t="s">
        <v>1267</v>
      </c>
      <c r="BR4" s="1061" t="s">
        <v>1268</v>
      </c>
      <c r="BS4" s="191"/>
      <c r="BT4" s="1349" t="s">
        <v>1269</v>
      </c>
      <c r="BU4" s="1061" t="s">
        <v>1270</v>
      </c>
      <c r="BV4" s="977"/>
      <c r="BW4" s="1610" t="s">
        <v>1271</v>
      </c>
      <c r="BX4" s="1604" t="s">
        <v>1272</v>
      </c>
      <c r="BZ4" s="1349" t="s">
        <v>1273</v>
      </c>
      <c r="CA4" s="1061" t="s">
        <v>1274</v>
      </c>
    </row>
    <row r="5" spans="1:79" ht="11.25" customHeight="1">
      <c r="A5" s="981" t="s">
        <v>1275</v>
      </c>
      <c r="B5" s="982">
        <v>2003</v>
      </c>
      <c r="C5" s="982">
        <v>2025</v>
      </c>
      <c r="E5" s="983" t="s">
        <v>1276</v>
      </c>
      <c r="F5" s="983" t="s">
        <v>1277</v>
      </c>
      <c r="H5" s="984" t="s">
        <v>1278</v>
      </c>
      <c r="I5" s="983" t="s">
        <v>76</v>
      </c>
      <c r="K5" s="985" t="s">
        <v>1279</v>
      </c>
      <c r="L5" s="986">
        <f>IFERROR(MATCH(K5,OFFER_METHOD,0),0)</f>
        <v>0</v>
      </c>
      <c r="M5" s="985">
        <v>4</v>
      </c>
      <c r="N5" s="998" t="s">
        <v>1280</v>
      </c>
      <c r="O5" s="983" t="s">
        <v>1281</v>
      </c>
      <c r="Q5" s="988" t="s">
        <v>1282</v>
      </c>
      <c r="R5" s="68" t="s">
        <v>1283</v>
      </c>
      <c r="T5" s="984" t="s">
        <v>1284</v>
      </c>
      <c r="U5" s="986" t="s">
        <v>1285</v>
      </c>
      <c r="V5" s="990">
        <v>4</v>
      </c>
      <c r="W5" s="991"/>
      <c r="X5" s="991" t="s">
        <v>148</v>
      </c>
      <c r="Y5" s="982" t="s">
        <v>1286</v>
      </c>
      <c r="Z5" s="997">
        <v>1</v>
      </c>
      <c r="AF5" s="984" t="s">
        <v>1287</v>
      </c>
      <c r="AH5" s="983" t="s">
        <v>1288</v>
      </c>
      <c r="AK5" s="983" t="s">
        <v>1289</v>
      </c>
      <c r="AM5" s="983" t="s">
        <v>1290</v>
      </c>
      <c r="AP5" s="994" t="s">
        <v>148</v>
      </c>
      <c r="AQ5" s="995" t="s">
        <v>148</v>
      </c>
      <c r="AU5" s="1025" t="s">
        <v>1291</v>
      </c>
      <c r="AW5" s="1025" t="s">
        <v>1292</v>
      </c>
      <c r="AX5" s="1025" t="s">
        <v>1292</v>
      </c>
      <c r="AZ5" s="1025" t="s">
        <v>1293</v>
      </c>
      <c r="BB5" s="1025" t="s">
        <v>1294</v>
      </c>
      <c r="BC5" s="1025" t="s">
        <v>1295</v>
      </c>
      <c r="BE5" s="1025">
        <v>2003</v>
      </c>
      <c r="BF5" s="1025" t="s">
        <v>1296</v>
      </c>
      <c r="BH5" s="975" t="s">
        <v>1297</v>
      </c>
      <c r="BJ5" s="975" t="s">
        <v>1297</v>
      </c>
      <c r="BL5" s="975" t="s">
        <v>1297</v>
      </c>
      <c r="BN5" s="975" t="s">
        <v>1298</v>
      </c>
      <c r="BQ5" s="1203">
        <v>4213775</v>
      </c>
      <c r="BR5" s="975" t="s">
        <v>1191</v>
      </c>
      <c r="BS5" s="1346"/>
      <c r="BT5" s="1203">
        <v>64236871</v>
      </c>
      <c r="BU5" s="975" t="s">
        <v>197</v>
      </c>
      <c r="BV5" s="977"/>
      <c r="BW5" s="1608">
        <v>4213767</v>
      </c>
      <c r="BX5" s="1606" t="s">
        <v>1299</v>
      </c>
      <c r="BZ5" s="1203">
        <v>64237509</v>
      </c>
      <c r="CA5" s="1216" t="s">
        <v>1300</v>
      </c>
    </row>
    <row r="6" spans="1:79" ht="11.25" customHeight="1">
      <c r="A6" s="981" t="s">
        <v>1301</v>
      </c>
      <c r="B6" s="982">
        <v>2004</v>
      </c>
      <c r="C6" s="982">
        <v>2026</v>
      </c>
      <c r="E6" s="983" t="s">
        <v>1302</v>
      </c>
      <c r="F6" s="999"/>
      <c r="H6" s="984" t="s">
        <v>1303</v>
      </c>
      <c r="I6" s="983" t="s">
        <v>93</v>
      </c>
      <c r="J6" s="974" t="s">
        <v>1304</v>
      </c>
      <c r="L6" s="986">
        <f>SUM(kind_of_control_method_filter)</f>
        <v>0</v>
      </c>
      <c r="N6" s="998" t="s">
        <v>1305</v>
      </c>
      <c r="O6" s="983" t="s">
        <v>1306</v>
      </c>
      <c r="R6" s="68" t="s">
        <v>1186</v>
      </c>
      <c r="T6" s="984" t="s">
        <v>1307</v>
      </c>
      <c r="U6" s="986" t="s">
        <v>1287</v>
      </c>
      <c r="V6" s="990">
        <v>5</v>
      </c>
      <c r="W6" s="991"/>
      <c r="X6" s="982" t="s">
        <v>154</v>
      </c>
      <c r="Y6" s="982" t="s">
        <v>1308</v>
      </c>
      <c r="Z6" s="997"/>
      <c r="AA6" s="1000"/>
      <c r="AH6" s="983" t="s">
        <v>1309</v>
      </c>
      <c r="AK6" s="983" t="s">
        <v>1310</v>
      </c>
      <c r="AM6" s="983" t="s">
        <v>1311</v>
      </c>
      <c r="AP6" s="994" t="s">
        <v>154</v>
      </c>
      <c r="AQ6" s="995" t="s">
        <v>154</v>
      </c>
      <c r="AU6" s="1025" t="s">
        <v>1312</v>
      </c>
      <c r="AW6" s="1025" t="s">
        <v>1313</v>
      </c>
      <c r="AX6" s="1025" t="s">
        <v>1313</v>
      </c>
      <c r="BB6" s="1025" t="s">
        <v>1314</v>
      </c>
      <c r="BC6" s="1025" t="s">
        <v>1295</v>
      </c>
      <c r="BE6" s="1025">
        <v>2004</v>
      </c>
      <c r="BF6" s="1025" t="s">
        <v>1315</v>
      </c>
      <c r="BH6" s="975" t="s">
        <v>1316</v>
      </c>
      <c r="BJ6" s="975" t="s">
        <v>1317</v>
      </c>
      <c r="BL6" s="975" t="s">
        <v>1317</v>
      </c>
      <c r="BN6" s="975" t="s">
        <v>1318</v>
      </c>
      <c r="BQ6" s="1203">
        <v>4213784</v>
      </c>
      <c r="BR6" s="1216" t="s">
        <v>1226</v>
      </c>
      <c r="BS6" s="1347"/>
      <c r="BT6" s="1203">
        <v>64236872</v>
      </c>
      <c r="BU6" s="975" t="s">
        <v>202</v>
      </c>
      <c r="BV6" s="977"/>
      <c r="BW6" s="1608">
        <v>4213768</v>
      </c>
      <c r="BX6" s="1606" t="s">
        <v>222</v>
      </c>
      <c r="BZ6" s="1203">
        <v>64237510</v>
      </c>
      <c r="CA6" s="975" t="s">
        <v>1319</v>
      </c>
    </row>
    <row r="7" spans="1:79" ht="11.25" customHeight="1">
      <c r="A7" s="981" t="s">
        <v>1320</v>
      </c>
      <c r="B7" s="982">
        <v>2005</v>
      </c>
      <c r="E7" s="983" t="s">
        <v>1321</v>
      </c>
      <c r="F7" s="999"/>
      <c r="H7" s="984" t="s">
        <v>1322</v>
      </c>
      <c r="I7" s="983" t="s">
        <v>77</v>
      </c>
      <c r="J7" s="983" t="s">
        <v>1323</v>
      </c>
      <c r="N7" s="1002" t="s">
        <v>1324</v>
      </c>
      <c r="O7" s="983" t="s">
        <v>1325</v>
      </c>
      <c r="U7" s="986" t="s">
        <v>48</v>
      </c>
      <c r="V7" s="297" t="s">
        <v>77</v>
      </c>
      <c r="W7" s="991"/>
      <c r="X7" s="982" t="s">
        <v>160</v>
      </c>
      <c r="Y7" s="982" t="s">
        <v>1286</v>
      </c>
      <c r="Z7" s="997"/>
      <c r="AA7" s="1000"/>
      <c r="AH7" s="983" t="s">
        <v>1326</v>
      </c>
      <c r="AK7" s="983" t="s">
        <v>1327</v>
      </c>
      <c r="AM7" s="983" t="s">
        <v>1328</v>
      </c>
      <c r="AP7" s="994" t="s">
        <v>160</v>
      </c>
      <c r="AQ7" s="995" t="s">
        <v>160</v>
      </c>
      <c r="AU7" s="1025" t="s">
        <v>1329</v>
      </c>
      <c r="AW7" s="1025" t="s">
        <v>1330</v>
      </c>
      <c r="AX7" s="1025" t="s">
        <v>1330</v>
      </c>
      <c r="AZ7" s="974" t="s">
        <v>1331</v>
      </c>
      <c r="BB7" s="1025" t="s">
        <v>1332</v>
      </c>
      <c r="BC7" s="1025" t="s">
        <v>1295</v>
      </c>
      <c r="BE7" s="1025">
        <v>2005</v>
      </c>
      <c r="BF7" s="1025" t="s">
        <v>1333</v>
      </c>
      <c r="BH7" s="975" t="s">
        <v>1334</v>
      </c>
      <c r="BJ7" s="975" t="s">
        <v>1316</v>
      </c>
      <c r="BL7" s="975" t="s">
        <v>1316</v>
      </c>
      <c r="BN7" s="975" t="s">
        <v>1335</v>
      </c>
      <c r="BQ7" s="1203">
        <v>4213781</v>
      </c>
      <c r="BR7" s="975" t="s">
        <v>1219</v>
      </c>
      <c r="BS7" s="1346"/>
      <c r="BT7" s="1203">
        <v>64236873</v>
      </c>
      <c r="BU7" s="975" t="s">
        <v>207</v>
      </c>
      <c r="BV7" s="977"/>
      <c r="BW7" s="1608">
        <v>4213769</v>
      </c>
      <c r="BX7" s="1606" t="s">
        <v>1336</v>
      </c>
      <c r="BZ7" s="1203">
        <v>64237511</v>
      </c>
      <c r="CA7" s="975" t="s">
        <v>237</v>
      </c>
    </row>
    <row r="8" spans="1:79" ht="11.25" customHeight="1">
      <c r="A8" s="981" t="s">
        <v>1337</v>
      </c>
      <c r="B8" s="982">
        <v>2006</v>
      </c>
      <c r="E8" s="983" t="s">
        <v>1338</v>
      </c>
      <c r="F8" s="999"/>
      <c r="I8" s="983" t="s">
        <v>78</v>
      </c>
      <c r="J8" s="983" t="s">
        <v>1339</v>
      </c>
      <c r="N8" s="1065" t="s">
        <v>1340</v>
      </c>
      <c r="O8" s="983" t="s">
        <v>1341</v>
      </c>
      <c r="V8" s="297" t="s">
        <v>78</v>
      </c>
      <c r="W8" s="991"/>
      <c r="X8" s="982" t="s">
        <v>166</v>
      </c>
      <c r="Y8" s="982" t="s">
        <v>1286</v>
      </c>
      <c r="Z8" s="997"/>
      <c r="AA8" s="1000"/>
      <c r="AK8" s="983" t="s">
        <v>1342</v>
      </c>
      <c r="AP8" s="994" t="s">
        <v>166</v>
      </c>
      <c r="AQ8" s="995" t="s">
        <v>166</v>
      </c>
      <c r="AU8" s="1025" t="s">
        <v>1343</v>
      </c>
      <c r="AW8" s="1025" t="s">
        <v>1344</v>
      </c>
      <c r="AX8" s="1025" t="s">
        <v>1344</v>
      </c>
      <c r="AZ8" s="1025" t="s">
        <v>1345</v>
      </c>
      <c r="BB8" s="1025" t="s">
        <v>1346</v>
      </c>
      <c r="BC8" s="1025" t="s">
        <v>1295</v>
      </c>
      <c r="BE8" s="1025">
        <v>2006</v>
      </c>
      <c r="BF8" s="1025" t="s">
        <v>1347</v>
      </c>
      <c r="BH8" s="975" t="s">
        <v>1348</v>
      </c>
      <c r="BJ8" s="975" t="s">
        <v>1349</v>
      </c>
      <c r="BL8" s="975" t="s">
        <v>1349</v>
      </c>
      <c r="BN8" s="975" t="s">
        <v>1350</v>
      </c>
      <c r="BQ8" s="1203">
        <v>4213776</v>
      </c>
      <c r="BR8" s="975" t="s">
        <v>148</v>
      </c>
      <c r="BS8" s="1346"/>
      <c r="BT8" s="1203">
        <v>64236874</v>
      </c>
      <c r="BU8" s="1216" t="s">
        <v>1351</v>
      </c>
      <c r="BV8" s="977"/>
      <c r="BW8" s="1608">
        <v>4213770</v>
      </c>
      <c r="BX8" s="1609" t="s">
        <v>1352</v>
      </c>
      <c r="BZ8" s="1203">
        <v>64237512</v>
      </c>
      <c r="CA8" s="975" t="s">
        <v>232</v>
      </c>
    </row>
    <row r="9" spans="1:79" ht="11.25" customHeight="1">
      <c r="A9" s="981" t="s">
        <v>1353</v>
      </c>
      <c r="B9" s="982">
        <v>2007</v>
      </c>
      <c r="E9" s="983" t="s">
        <v>1354</v>
      </c>
      <c r="F9" s="999"/>
      <c r="G9" s="974" t="s">
        <v>1355</v>
      </c>
      <c r="H9" s="974" t="s">
        <v>1356</v>
      </c>
      <c r="I9" s="983" t="s">
        <v>94</v>
      </c>
      <c r="O9" s="983" t="s">
        <v>1357</v>
      </c>
      <c r="V9" s="297" t="s">
        <v>94</v>
      </c>
      <c r="W9" s="991"/>
      <c r="X9" s="982" t="s">
        <v>172</v>
      </c>
      <c r="Y9" s="982" t="s">
        <v>1192</v>
      </c>
      <c r="Z9" s="997">
        <v>1</v>
      </c>
      <c r="AA9" s="1000"/>
      <c r="AK9" s="983" t="s">
        <v>1358</v>
      </c>
      <c r="AP9" s="994" t="s">
        <v>1359</v>
      </c>
      <c r="AQ9" s="995" t="s">
        <v>1359</v>
      </c>
      <c r="AW9" s="1025" t="s">
        <v>1360</v>
      </c>
      <c r="AX9" s="1025" t="s">
        <v>1360</v>
      </c>
      <c r="AZ9" s="1025" t="s">
        <v>1361</v>
      </c>
      <c r="BB9" s="1025" t="s">
        <v>1362</v>
      </c>
      <c r="BC9" s="1025" t="s">
        <v>1295</v>
      </c>
      <c r="BE9" s="1025">
        <v>2007</v>
      </c>
      <c r="BF9" s="1025" t="s">
        <v>1363</v>
      </c>
      <c r="BH9" s="975" t="s">
        <v>1364</v>
      </c>
      <c r="BJ9" s="975" t="s">
        <v>1365</v>
      </c>
      <c r="BL9" s="975" t="s">
        <v>1365</v>
      </c>
      <c r="BN9" s="975" t="s">
        <v>1366</v>
      </c>
      <c r="BQ9" s="1203">
        <v>4213777</v>
      </c>
      <c r="BR9" s="975" t="s">
        <v>154</v>
      </c>
      <c r="BS9" s="1346"/>
      <c r="BT9" s="1203">
        <v>64236875</v>
      </c>
      <c r="BU9" s="975" t="s">
        <v>212</v>
      </c>
      <c r="BV9" s="977"/>
      <c r="BW9" s="1603"/>
      <c r="BX9" s="1603"/>
    </row>
    <row r="10" spans="1:79" ht="11.25" customHeight="1">
      <c r="A10" s="981" t="s">
        <v>1367</v>
      </c>
      <c r="B10" s="982">
        <v>2008</v>
      </c>
      <c r="E10" s="983" t="s">
        <v>1368</v>
      </c>
      <c r="F10" s="999"/>
      <c r="G10" s="983" t="s">
        <v>1369</v>
      </c>
      <c r="H10" s="983" t="s">
        <v>1370</v>
      </c>
      <c r="I10" s="983" t="s">
        <v>130</v>
      </c>
      <c r="J10" s="974" t="s">
        <v>1371</v>
      </c>
      <c r="K10" s="974" t="s">
        <v>1372</v>
      </c>
      <c r="O10" s="983" t="s">
        <v>1373</v>
      </c>
      <c r="V10" s="298" t="s">
        <v>130</v>
      </c>
      <c r="W10" s="1003"/>
      <c r="X10" s="1003" t="s">
        <v>1374</v>
      </c>
      <c r="Y10" s="1004" t="s">
        <v>1375</v>
      </c>
      <c r="Z10" s="997"/>
      <c r="AP10" s="994" t="s">
        <v>1374</v>
      </c>
      <c r="AQ10" s="995" t="s">
        <v>1374</v>
      </c>
      <c r="AW10" s="1025" t="s">
        <v>1376</v>
      </c>
      <c r="AX10" s="1025" t="s">
        <v>1376</v>
      </c>
      <c r="AZ10" s="1025" t="s">
        <v>1377</v>
      </c>
      <c r="BB10" s="1025" t="s">
        <v>1378</v>
      </c>
      <c r="BC10" s="1025" t="s">
        <v>1295</v>
      </c>
      <c r="BE10" s="1025">
        <v>2008</v>
      </c>
      <c r="BF10" s="1025" t="s">
        <v>1379</v>
      </c>
      <c r="BH10" s="975" t="s">
        <v>1380</v>
      </c>
      <c r="BJ10" s="975" t="s">
        <v>1381</v>
      </c>
      <c r="BL10" s="975" t="s">
        <v>1381</v>
      </c>
      <c r="BN10" s="975" t="s">
        <v>1382</v>
      </c>
      <c r="BQ10" s="1203">
        <v>4213778</v>
      </c>
      <c r="BR10" s="975" t="s">
        <v>160</v>
      </c>
      <c r="BS10" s="1346"/>
      <c r="BT10" s="1203">
        <v>64236876</v>
      </c>
      <c r="BU10" s="975" t="s">
        <v>192</v>
      </c>
      <c r="BV10" s="977"/>
      <c r="BW10" s="1603"/>
      <c r="BX10" s="1603"/>
    </row>
    <row r="11" spans="1:79" ht="11.25" customHeight="1">
      <c r="A11" s="981" t="s">
        <v>1383</v>
      </c>
      <c r="B11" s="982">
        <v>2009</v>
      </c>
      <c r="E11" s="983" t="s">
        <v>1384</v>
      </c>
      <c r="F11" s="999"/>
      <c r="G11" s="983" t="s">
        <v>1385</v>
      </c>
      <c r="H11" s="983" t="s">
        <v>1386</v>
      </c>
      <c r="I11" s="983" t="s">
        <v>131</v>
      </c>
      <c r="J11" s="984" t="s">
        <v>1387</v>
      </c>
      <c r="K11" s="1005" t="s">
        <v>1388</v>
      </c>
      <c r="O11" s="984" t="s">
        <v>1389</v>
      </c>
      <c r="V11" s="297" t="s">
        <v>131</v>
      </c>
      <c r="W11" s="192"/>
      <c r="X11" s="991" t="s">
        <v>1359</v>
      </c>
      <c r="Y11" s="982" t="s">
        <v>1390</v>
      </c>
      <c r="Z11" s="997"/>
      <c r="AP11" s="994" t="s">
        <v>172</v>
      </c>
      <c r="AQ11" s="996" t="s">
        <v>172</v>
      </c>
      <c r="AW11" s="1025" t="s">
        <v>1391</v>
      </c>
      <c r="AX11" s="1025" t="s">
        <v>1391</v>
      </c>
      <c r="AZ11" s="1025" t="s">
        <v>1392</v>
      </c>
      <c r="BB11" s="1025" t="s">
        <v>1393</v>
      </c>
      <c r="BC11" s="1025" t="s">
        <v>1295</v>
      </c>
      <c r="BE11" s="1025">
        <v>2009</v>
      </c>
      <c r="BF11" s="1025" t="s">
        <v>1394</v>
      </c>
      <c r="BH11" s="975" t="s">
        <v>1395</v>
      </c>
      <c r="BJ11" s="975" t="s">
        <v>1364</v>
      </c>
      <c r="BL11" s="975" t="s">
        <v>1364</v>
      </c>
      <c r="BN11" s="975" t="s">
        <v>1396</v>
      </c>
      <c r="BQ11" s="1203">
        <v>4213780</v>
      </c>
      <c r="BR11" s="975" t="s">
        <v>166</v>
      </c>
      <c r="BS11" s="1346"/>
      <c r="BW11" s="1603"/>
      <c r="BX11" s="1603"/>
    </row>
    <row r="12" spans="1:79" ht="11.25" customHeight="1">
      <c r="A12" s="981" t="s">
        <v>1397</v>
      </c>
      <c r="B12" s="982">
        <v>2010</v>
      </c>
      <c r="E12" s="983" t="s">
        <v>1398</v>
      </c>
      <c r="F12" s="999"/>
      <c r="G12" s="983" t="s">
        <v>1386</v>
      </c>
      <c r="I12" s="983" t="s">
        <v>132</v>
      </c>
      <c r="J12" s="984" t="s">
        <v>1399</v>
      </c>
      <c r="K12" s="1005" t="s">
        <v>1400</v>
      </c>
      <c r="O12" s="984" t="s">
        <v>1186</v>
      </c>
      <c r="V12" s="297" t="s">
        <v>132</v>
      </c>
      <c r="W12" s="996"/>
      <c r="X12" s="991" t="s">
        <v>1401</v>
      </c>
      <c r="Y12" s="982" t="s">
        <v>1192</v>
      </c>
      <c r="AP12" s="994"/>
      <c r="AW12" s="1025" t="s">
        <v>131</v>
      </c>
      <c r="AX12" s="1025" t="s">
        <v>131</v>
      </c>
      <c r="AZ12" s="1025" t="s">
        <v>1402</v>
      </c>
      <c r="BB12" s="1025" t="s">
        <v>1403</v>
      </c>
      <c r="BC12" s="1025" t="s">
        <v>1295</v>
      </c>
      <c r="BE12" s="1025">
        <v>2010</v>
      </c>
      <c r="BF12" s="1025" t="s">
        <v>1404</v>
      </c>
      <c r="BH12" s="975" t="s">
        <v>1405</v>
      </c>
      <c r="BJ12" s="975" t="s">
        <v>1406</v>
      </c>
      <c r="BL12" s="975" t="s">
        <v>1406</v>
      </c>
      <c r="BN12" s="975" t="s">
        <v>1407</v>
      </c>
      <c r="BQ12" s="1203">
        <v>4213779</v>
      </c>
      <c r="BR12" s="975" t="s">
        <v>1359</v>
      </c>
      <c r="BS12" s="1346"/>
      <c r="BT12" s="977"/>
      <c r="BU12" s="977"/>
      <c r="BV12" s="977"/>
      <c r="BW12" s="1603"/>
      <c r="BX12" s="1603"/>
    </row>
    <row r="13" spans="1:79" ht="11.25" customHeight="1">
      <c r="A13" s="981" t="s">
        <v>1408</v>
      </c>
      <c r="B13" s="982">
        <v>2011</v>
      </c>
      <c r="E13" s="983" t="s">
        <v>1409</v>
      </c>
      <c r="F13" s="999"/>
      <c r="I13" s="983" t="s">
        <v>133</v>
      </c>
      <c r="K13" s="1005" t="s">
        <v>1358</v>
      </c>
      <c r="V13" s="297" t="s">
        <v>133</v>
      </c>
      <c r="W13" s="996"/>
      <c r="X13" s="996"/>
      <c r="Y13" s="996"/>
      <c r="AW13" s="1025" t="s">
        <v>132</v>
      </c>
      <c r="AX13" s="1025" t="s">
        <v>132</v>
      </c>
      <c r="BB13" s="1025" t="s">
        <v>1410</v>
      </c>
      <c r="BC13" s="1025" t="s">
        <v>1411</v>
      </c>
      <c r="BE13" s="1025">
        <v>2011</v>
      </c>
      <c r="BF13" s="1025" t="s">
        <v>1412</v>
      </c>
      <c r="BH13" s="975" t="s">
        <v>1413</v>
      </c>
      <c r="BJ13" s="975" t="s">
        <v>1395</v>
      </c>
      <c r="BL13" s="975" t="s">
        <v>1395</v>
      </c>
      <c r="BN13" s="975" t="s">
        <v>1414</v>
      </c>
      <c r="BQ13" s="1203">
        <v>4213783</v>
      </c>
      <c r="BR13" s="975" t="s">
        <v>1374</v>
      </c>
      <c r="BS13" s="1346"/>
      <c r="BT13" s="977"/>
      <c r="BU13" s="977"/>
      <c r="BV13" s="977"/>
      <c r="BW13" s="1607"/>
      <c r="BX13" s="1603"/>
    </row>
    <row r="14" spans="1:79" ht="11.25" customHeight="1">
      <c r="A14" s="981" t="s">
        <v>1415</v>
      </c>
      <c r="B14" s="982">
        <v>2012</v>
      </c>
      <c r="I14" s="983" t="s">
        <v>134</v>
      </c>
      <c r="J14" s="974" t="s">
        <v>1416</v>
      </c>
      <c r="N14" s="974" t="s">
        <v>1417</v>
      </c>
      <c r="V14" s="990">
        <v>13</v>
      </c>
      <c r="W14" s="991"/>
      <c r="X14" s="991" t="s">
        <v>1226</v>
      </c>
      <c r="Y14" s="982" t="s">
        <v>1192</v>
      </c>
      <c r="AW14" s="1025" t="s">
        <v>133</v>
      </c>
      <c r="AX14" s="1025" t="s">
        <v>133</v>
      </c>
      <c r="AZ14" s="974" t="s">
        <v>1418</v>
      </c>
      <c r="BB14" s="1025" t="s">
        <v>1419</v>
      </c>
      <c r="BC14" s="1025" t="s">
        <v>1411</v>
      </c>
      <c r="BE14" s="1025">
        <v>2012</v>
      </c>
      <c r="BH14" s="975" t="s">
        <v>1335</v>
      </c>
      <c r="BJ14" s="1123" t="s">
        <v>1420</v>
      </c>
      <c r="BL14" s="1123" t="s">
        <v>1420</v>
      </c>
      <c r="BN14" s="975" t="s">
        <v>1421</v>
      </c>
      <c r="BQ14" s="1203">
        <v>4213782</v>
      </c>
      <c r="BR14" s="975" t="s">
        <v>172</v>
      </c>
      <c r="BS14" s="1346"/>
      <c r="BT14" s="977"/>
      <c r="BU14" s="977"/>
      <c r="BV14" s="977"/>
      <c r="BW14" s="1607"/>
      <c r="BX14" s="1603"/>
    </row>
    <row r="15" spans="1:79" ht="19.5" customHeight="1">
      <c r="A15" s="981" t="s">
        <v>1422</v>
      </c>
      <c r="B15" s="982">
        <v>2013</v>
      </c>
      <c r="E15" s="1611" t="s">
        <v>1423</v>
      </c>
      <c r="G15" s="974" t="s">
        <v>1424</v>
      </c>
      <c r="H15" s="974" t="s">
        <v>1425</v>
      </c>
      <c r="I15" s="985" t="s">
        <v>135</v>
      </c>
      <c r="J15" s="996" t="s">
        <v>545</v>
      </c>
      <c r="N15" s="1060" t="s">
        <v>1426</v>
      </c>
      <c r="X15" s="994"/>
      <c r="AW15" s="1025" t="s">
        <v>134</v>
      </c>
      <c r="AX15" s="1025" t="s">
        <v>134</v>
      </c>
      <c r="AZ15" s="1025" t="s">
        <v>1345</v>
      </c>
      <c r="BB15" s="1025" t="s">
        <v>1427</v>
      </c>
      <c r="BC15" s="1025" t="s">
        <v>1411</v>
      </c>
      <c r="BE15" s="1025">
        <v>2013</v>
      </c>
      <c r="BH15" s="975" t="s">
        <v>1350</v>
      </c>
      <c r="BJ15" s="1123" t="s">
        <v>1428</v>
      </c>
      <c r="BL15" s="1123" t="s">
        <v>1428</v>
      </c>
      <c r="BN15" s="975" t="s">
        <v>1429</v>
      </c>
      <c r="BR15" s="977"/>
      <c r="BS15" s="1348"/>
      <c r="BT15" s="977"/>
      <c r="BU15" s="977"/>
      <c r="BV15" s="977"/>
      <c r="BW15" s="1607"/>
      <c r="BX15" s="1603"/>
    </row>
    <row r="16" spans="1:79" ht="21" customHeight="1">
      <c r="A16" s="1782" t="s">
        <v>1430</v>
      </c>
      <c r="B16" s="982">
        <v>2014</v>
      </c>
      <c r="E16" s="1612" t="s">
        <v>1431</v>
      </c>
      <c r="G16" s="983" t="s">
        <v>1432</v>
      </c>
      <c r="H16" s="983" t="s">
        <v>1433</v>
      </c>
      <c r="I16" s="985" t="s">
        <v>1434</v>
      </c>
      <c r="J16" s="996" t="s">
        <v>518</v>
      </c>
      <c r="N16" s="1060" t="s">
        <v>1435</v>
      </c>
      <c r="AW16" s="1025" t="s">
        <v>135</v>
      </c>
      <c r="AX16" s="1025" t="s">
        <v>135</v>
      </c>
      <c r="AZ16" s="1025" t="s">
        <v>1361</v>
      </c>
      <c r="BB16" s="1025" t="s">
        <v>1436</v>
      </c>
      <c r="BC16" s="1025" t="s">
        <v>1411</v>
      </c>
      <c r="BE16" s="1025">
        <v>2014</v>
      </c>
      <c r="BH16" s="975" t="s">
        <v>1366</v>
      </c>
      <c r="BJ16" s="1123" t="s">
        <v>1437</v>
      </c>
      <c r="BL16" s="1123" t="s">
        <v>1437</v>
      </c>
      <c r="BN16" s="975" t="s">
        <v>1438</v>
      </c>
      <c r="BR16" s="977"/>
      <c r="BS16" s="1348"/>
      <c r="BT16" s="977"/>
      <c r="BU16" s="977"/>
      <c r="BV16" s="977"/>
      <c r="BW16" s="1607"/>
      <c r="BX16" s="1603"/>
    </row>
    <row r="17" spans="1:82" ht="21" customHeight="1">
      <c r="A17" s="981" t="s">
        <v>1439</v>
      </c>
      <c r="B17" s="982">
        <v>2015</v>
      </c>
      <c r="G17" s="983" t="s">
        <v>1386</v>
      </c>
      <c r="H17" s="983" t="s">
        <v>1386</v>
      </c>
      <c r="I17" s="983" t="s">
        <v>1440</v>
      </c>
      <c r="N17" s="1060" t="s">
        <v>1441</v>
      </c>
      <c r="X17" s="994"/>
      <c r="AW17" s="1025" t="s">
        <v>1434</v>
      </c>
      <c r="AX17" s="1025" t="s">
        <v>1434</v>
      </c>
      <c r="AZ17" s="1025" t="s">
        <v>1442</v>
      </c>
      <c r="BB17" s="1025" t="s">
        <v>1443</v>
      </c>
      <c r="BC17" s="1025" t="s">
        <v>1295</v>
      </c>
      <c r="BE17" s="1025">
        <v>2015</v>
      </c>
      <c r="BH17" s="975" t="s">
        <v>1382</v>
      </c>
      <c r="BJ17" s="1123" t="s">
        <v>1444</v>
      </c>
      <c r="BL17" s="1123" t="s">
        <v>1444</v>
      </c>
      <c r="BN17" s="975" t="s">
        <v>1445</v>
      </c>
      <c r="BR17" s="974" t="s">
        <v>1237</v>
      </c>
      <c r="BS17" s="1345"/>
      <c r="BU17" s="974" t="s">
        <v>1446</v>
      </c>
      <c r="BV17" s="977"/>
      <c r="BW17" s="1603"/>
      <c r="BX17" s="1605" t="s">
        <v>1447</v>
      </c>
      <c r="CA17" s="974" t="s">
        <v>1448</v>
      </c>
      <c r="CD17" s="974" t="s">
        <v>1449</v>
      </c>
    </row>
    <row r="18" spans="1:82" ht="21" customHeight="1">
      <c r="A18" s="981" t="s">
        <v>1450</v>
      </c>
      <c r="B18" s="982">
        <v>2016</v>
      </c>
      <c r="I18" s="983" t="s">
        <v>1451</v>
      </c>
      <c r="N18" s="1060" t="s">
        <v>1452</v>
      </c>
      <c r="X18" s="994"/>
      <c r="AW18" s="1025" t="s">
        <v>1440</v>
      </c>
      <c r="AX18" s="1025" t="s">
        <v>1440</v>
      </c>
      <c r="BB18" s="1025" t="s">
        <v>1453</v>
      </c>
      <c r="BC18" s="1025" t="s">
        <v>1295</v>
      </c>
      <c r="BE18" s="1025">
        <v>2016</v>
      </c>
      <c r="BH18" s="975" t="s">
        <v>1396</v>
      </c>
      <c r="BJ18" s="1123" t="s">
        <v>1454</v>
      </c>
      <c r="BL18" s="1123" t="s">
        <v>1454</v>
      </c>
      <c r="BN18" s="975" t="s">
        <v>1455</v>
      </c>
      <c r="BQ18" s="1349" t="s">
        <v>1267</v>
      </c>
      <c r="BR18" s="1061" t="s">
        <v>1268</v>
      </c>
      <c r="BS18" s="191"/>
      <c r="BT18" s="1349" t="s">
        <v>1456</v>
      </c>
      <c r="BU18" s="1061" t="s">
        <v>1457</v>
      </c>
      <c r="BV18" s="977"/>
      <c r="BW18" s="1610" t="s">
        <v>1458</v>
      </c>
      <c r="BX18" s="1604" t="s">
        <v>1459</v>
      </c>
      <c r="BZ18" s="1349" t="s">
        <v>1460</v>
      </c>
      <c r="CA18" s="1061" t="s">
        <v>1461</v>
      </c>
      <c r="CC18" s="1349" t="s">
        <v>1462</v>
      </c>
      <c r="CD18" s="1061" t="s">
        <v>1463</v>
      </c>
    </row>
    <row r="19" spans="1:82" ht="21" customHeight="1">
      <c r="A19" s="1782" t="s">
        <v>1464</v>
      </c>
      <c r="B19" s="982">
        <v>2017</v>
      </c>
      <c r="I19" s="983" t="s">
        <v>1465</v>
      </c>
      <c r="N19" s="1060" t="s">
        <v>1466</v>
      </c>
      <c r="X19" s="994"/>
      <c r="AW19" s="1025" t="s">
        <v>1451</v>
      </c>
      <c r="AX19" s="1025" t="s">
        <v>1451</v>
      </c>
      <c r="AZ19" s="974" t="s">
        <v>1467</v>
      </c>
      <c r="BB19" s="1025" t="s">
        <v>1468</v>
      </c>
      <c r="BC19" s="1025" t="s">
        <v>1295</v>
      </c>
      <c r="BE19" s="1025">
        <v>2017</v>
      </c>
      <c r="BH19" s="975" t="s">
        <v>1469</v>
      </c>
      <c r="BJ19" s="1123" t="s">
        <v>1470</v>
      </c>
      <c r="BL19" s="1123" t="s">
        <v>1470</v>
      </c>
      <c r="BQ19" s="1203">
        <v>4190064</v>
      </c>
      <c r="BR19" s="975" t="s">
        <v>1471</v>
      </c>
      <c r="BS19" s="1346"/>
      <c r="BT19" s="1203">
        <v>4189671</v>
      </c>
      <c r="BU19" s="975" t="s">
        <v>1472</v>
      </c>
      <c r="BV19" s="977"/>
      <c r="BW19" s="1608">
        <v>4189706</v>
      </c>
      <c r="BX19" s="1606" t="s">
        <v>1473</v>
      </c>
      <c r="BZ19" s="1203">
        <v>4189714</v>
      </c>
      <c r="CA19" s="975" t="s">
        <v>1474</v>
      </c>
      <c r="CC19" s="1203">
        <v>4189708</v>
      </c>
      <c r="CD19" s="975" t="s">
        <v>1475</v>
      </c>
    </row>
    <row r="20" spans="1:82" ht="21" customHeight="1">
      <c r="A20" s="981" t="s">
        <v>1476</v>
      </c>
      <c r="B20" s="982">
        <v>2018</v>
      </c>
      <c r="I20" s="983" t="s">
        <v>1477</v>
      </c>
      <c r="N20" s="1060" t="s">
        <v>1478</v>
      </c>
      <c r="AW20" s="1025" t="s">
        <v>1465</v>
      </c>
      <c r="AX20" s="1025" t="s">
        <v>1465</v>
      </c>
      <c r="AZ20" s="1025" t="s">
        <v>1479</v>
      </c>
      <c r="BB20" s="1025" t="s">
        <v>1480</v>
      </c>
      <c r="BC20" s="1025" t="s">
        <v>1411</v>
      </c>
      <c r="BE20" s="1025">
        <v>2018</v>
      </c>
      <c r="BH20" s="975" t="s">
        <v>1407</v>
      </c>
      <c r="BJ20" s="975" t="s">
        <v>1335</v>
      </c>
      <c r="BL20" s="975" t="s">
        <v>1335</v>
      </c>
      <c r="BQ20" s="1203">
        <v>4190065</v>
      </c>
      <c r="BR20" s="975" t="s">
        <v>1481</v>
      </c>
      <c r="BS20" s="1346"/>
      <c r="BT20" s="1203">
        <v>4189672</v>
      </c>
      <c r="BU20" s="975" t="s">
        <v>1482</v>
      </c>
      <c r="BV20" s="977"/>
      <c r="BW20" s="1608">
        <v>4189705</v>
      </c>
      <c r="BX20" s="1606" t="s">
        <v>1483</v>
      </c>
      <c r="BZ20" s="1203">
        <v>4189713</v>
      </c>
      <c r="CA20" s="975" t="s">
        <v>1483</v>
      </c>
      <c r="CC20" s="1203">
        <v>4189709</v>
      </c>
      <c r="CD20" s="975" t="s">
        <v>1484</v>
      </c>
    </row>
    <row r="21" spans="1:82" ht="21" customHeight="1">
      <c r="A21" s="981" t="s">
        <v>1485</v>
      </c>
      <c r="B21" s="982">
        <v>2019</v>
      </c>
      <c r="I21" s="983" t="s">
        <v>1486</v>
      </c>
      <c r="N21" s="1060" t="s">
        <v>1487</v>
      </c>
      <c r="AW21" s="1025" t="s">
        <v>1477</v>
      </c>
      <c r="AX21" s="1025" t="s">
        <v>1477</v>
      </c>
      <c r="AZ21" s="1025" t="s">
        <v>1488</v>
      </c>
      <c r="BB21" s="1025" t="s">
        <v>1489</v>
      </c>
      <c r="BC21" s="1025" t="s">
        <v>1295</v>
      </c>
      <c r="BE21" s="1025">
        <v>2019</v>
      </c>
      <c r="BH21" s="975" t="s">
        <v>1414</v>
      </c>
      <c r="BJ21" s="975" t="s">
        <v>1350</v>
      </c>
      <c r="BL21" s="975" t="s">
        <v>1350</v>
      </c>
      <c r="BQ21" s="1203">
        <v>4190066</v>
      </c>
      <c r="BR21" s="975" t="s">
        <v>1490</v>
      </c>
      <c r="BS21" s="1346"/>
      <c r="BT21" s="1203">
        <v>4189673</v>
      </c>
      <c r="BU21" s="975" t="s">
        <v>1491</v>
      </c>
      <c r="BV21" s="977"/>
      <c r="BW21" s="1608">
        <v>4189707</v>
      </c>
      <c r="BX21" s="1606" t="s">
        <v>1492</v>
      </c>
      <c r="BZ21" s="1203">
        <v>4189712</v>
      </c>
      <c r="CA21" s="975" t="s">
        <v>1493</v>
      </c>
      <c r="CC21" s="1203">
        <v>4189710</v>
      </c>
      <c r="CD21" s="975" t="s">
        <v>1494</v>
      </c>
    </row>
    <row r="22" spans="1:82" ht="21" customHeight="1">
      <c r="A22" s="981" t="s">
        <v>1495</v>
      </c>
      <c r="B22" s="982">
        <v>2020</v>
      </c>
      <c r="N22" s="1060" t="s">
        <v>1496</v>
      </c>
      <c r="AW22" s="1025" t="s">
        <v>1486</v>
      </c>
      <c r="AX22" s="1025" t="s">
        <v>1486</v>
      </c>
      <c r="AZ22" s="1025" t="s">
        <v>1497</v>
      </c>
      <c r="BB22" s="1025" t="s">
        <v>1498</v>
      </c>
      <c r="BC22" s="1025" t="s">
        <v>1295</v>
      </c>
      <c r="BE22" s="1025">
        <v>2020</v>
      </c>
      <c r="BH22" s="975" t="s">
        <v>1421</v>
      </c>
      <c r="BJ22" s="975" t="s">
        <v>1366</v>
      </c>
      <c r="BL22" s="975" t="s">
        <v>1366</v>
      </c>
      <c r="BQ22" s="1203">
        <v>4190067</v>
      </c>
      <c r="BR22" s="975" t="s">
        <v>1499</v>
      </c>
      <c r="BS22" s="1346"/>
      <c r="BT22" s="1203">
        <v>4189674</v>
      </c>
      <c r="BU22" s="975" t="s">
        <v>1500</v>
      </c>
      <c r="BV22" s="977"/>
      <c r="BW22" s="977"/>
      <c r="CC22" s="1203">
        <v>4189711</v>
      </c>
      <c r="CD22" s="975" t="s">
        <v>261</v>
      </c>
    </row>
    <row r="23" spans="1:82" ht="21" customHeight="1">
      <c r="A23" s="981" t="s">
        <v>1501</v>
      </c>
      <c r="B23" s="982">
        <v>2021</v>
      </c>
      <c r="AW23" s="1025" t="s">
        <v>1502</v>
      </c>
      <c r="AX23" s="1025" t="s">
        <v>1502</v>
      </c>
      <c r="AZ23" s="1025" t="s">
        <v>1503</v>
      </c>
      <c r="BB23" s="1025" t="s">
        <v>1504</v>
      </c>
      <c r="BC23" s="1025" t="s">
        <v>1203</v>
      </c>
      <c r="BE23" s="1025">
        <v>2021</v>
      </c>
      <c r="BH23" s="975" t="s">
        <v>1429</v>
      </c>
      <c r="BJ23" s="975" t="s">
        <v>1382</v>
      </c>
      <c r="BL23" s="975" t="s">
        <v>1382</v>
      </c>
      <c r="BQ23" s="1203">
        <v>4190068</v>
      </c>
      <c r="BR23" s="975" t="s">
        <v>1505</v>
      </c>
      <c r="BS23" s="1346"/>
      <c r="BT23" s="1203">
        <v>4189675</v>
      </c>
      <c r="BU23" s="975" t="s">
        <v>1506</v>
      </c>
      <c r="BV23" s="977"/>
      <c r="BW23" s="977"/>
      <c r="CC23" s="1203">
        <v>5110778</v>
      </c>
      <c r="CD23" s="975" t="s">
        <v>1507</v>
      </c>
    </row>
    <row r="24" spans="1:82" ht="21" customHeight="1">
      <c r="A24" s="981" t="s">
        <v>1508</v>
      </c>
      <c r="B24" s="982">
        <v>2022</v>
      </c>
      <c r="AW24" s="1025" t="s">
        <v>1509</v>
      </c>
      <c r="AX24" s="1025" t="s">
        <v>1509</v>
      </c>
      <c r="AZ24" s="1025" t="s">
        <v>1510</v>
      </c>
      <c r="BB24" s="1025" t="s">
        <v>1511</v>
      </c>
      <c r="BC24" s="1025" t="s">
        <v>1512</v>
      </c>
      <c r="BE24" s="1025">
        <v>2022</v>
      </c>
      <c r="BH24" s="975" t="s">
        <v>1438</v>
      </c>
      <c r="BJ24" s="975" t="s">
        <v>1396</v>
      </c>
      <c r="BL24" s="975" t="s">
        <v>1396</v>
      </c>
      <c r="BQ24" s="1203">
        <v>4190069</v>
      </c>
      <c r="BR24" s="975" t="s">
        <v>1513</v>
      </c>
      <c r="BS24" s="1346"/>
      <c r="BT24" s="1203">
        <v>4189676</v>
      </c>
      <c r="BU24" s="975" t="s">
        <v>1514</v>
      </c>
      <c r="BV24" s="977"/>
      <c r="BW24" s="977"/>
      <c r="CC24" s="1203">
        <v>25575374</v>
      </c>
      <c r="CD24" s="975" t="s">
        <v>1515</v>
      </c>
    </row>
    <row r="25" spans="1:82" ht="11.25" customHeight="1">
      <c r="A25" s="981" t="s">
        <v>1516</v>
      </c>
      <c r="B25" s="982">
        <v>2023</v>
      </c>
      <c r="AW25" s="1025" t="s">
        <v>1517</v>
      </c>
      <c r="AX25" s="1025" t="s">
        <v>1517</v>
      </c>
      <c r="AZ25" s="1025" t="s">
        <v>1518</v>
      </c>
      <c r="BB25" s="1025" t="s">
        <v>1519</v>
      </c>
      <c r="BC25" s="1025" t="s">
        <v>1512</v>
      </c>
      <c r="BE25" s="1025">
        <v>2023</v>
      </c>
      <c r="BH25" s="975" t="s">
        <v>1445</v>
      </c>
      <c r="BJ25" s="975" t="s">
        <v>1469</v>
      </c>
      <c r="BL25" s="975" t="s">
        <v>1469</v>
      </c>
      <c r="BQ25" s="1203">
        <v>4190070</v>
      </c>
      <c r="BR25" s="975" t="s">
        <v>1520</v>
      </c>
      <c r="BS25" s="1346"/>
      <c r="BT25" s="1203">
        <v>4189677</v>
      </c>
      <c r="BU25" s="975" t="s">
        <v>1521</v>
      </c>
      <c r="BV25" s="977"/>
      <c r="BW25" s="977"/>
    </row>
    <row r="26" spans="1:82" ht="11.25" customHeight="1">
      <c r="A26" s="981" t="s">
        <v>1522</v>
      </c>
      <c r="B26" s="982">
        <v>2024</v>
      </c>
      <c r="J26" s="1643" t="s">
        <v>1523</v>
      </c>
      <c r="AX26" s="1025" t="s">
        <v>1524</v>
      </c>
      <c r="AZ26" s="1025" t="s">
        <v>1389</v>
      </c>
      <c r="BB26" s="1025" t="s">
        <v>1525</v>
      </c>
      <c r="BC26" s="1025" t="s">
        <v>1512</v>
      </c>
      <c r="BE26" s="1025">
        <v>2024</v>
      </c>
      <c r="BH26" s="975" t="s">
        <v>1455</v>
      </c>
      <c r="BJ26" s="975" t="s">
        <v>1407</v>
      </c>
      <c r="BL26" s="975" t="s">
        <v>1407</v>
      </c>
      <c r="BQ26" s="1203">
        <v>4190071</v>
      </c>
      <c r="BR26" s="975" t="s">
        <v>1526</v>
      </c>
      <c r="BS26" s="1346"/>
      <c r="BV26" s="977"/>
      <c r="BW26" s="977"/>
    </row>
    <row r="27" spans="1:82" ht="11.25" customHeight="1">
      <c r="A27" s="981" t="s">
        <v>1527</v>
      </c>
      <c r="B27" s="982">
        <v>2025</v>
      </c>
      <c r="J27" s="97" t="s">
        <v>1004</v>
      </c>
      <c r="AX27" s="1025" t="s">
        <v>1528</v>
      </c>
      <c r="BB27" s="1025" t="s">
        <v>1529</v>
      </c>
      <c r="BC27" s="1025" t="s">
        <v>1512</v>
      </c>
      <c r="BE27" s="1025">
        <v>2025</v>
      </c>
      <c r="BH27" s="977" t="s">
        <v>18</v>
      </c>
      <c r="BJ27" s="975" t="s">
        <v>1414</v>
      </c>
      <c r="BL27" s="975" t="s">
        <v>1414</v>
      </c>
      <c r="BN27" s="977" t="s">
        <v>18</v>
      </c>
      <c r="BQ27" s="1203">
        <v>4190072</v>
      </c>
      <c r="BR27" s="975" t="s">
        <v>1530</v>
      </c>
      <c r="BS27" s="1346"/>
      <c r="BV27" s="977"/>
      <c r="BW27" s="977"/>
    </row>
    <row r="28" spans="1:82" ht="11.25" customHeight="1">
      <c r="A28" s="981" t="s">
        <v>1531</v>
      </c>
      <c r="D28" s="1006"/>
      <c r="E28" s="1007"/>
      <c r="F28" s="1007"/>
      <c r="H28" s="1008" t="s">
        <v>1532</v>
      </c>
      <c r="AX28" s="1025" t="s">
        <v>1533</v>
      </c>
      <c r="AZ28" s="974" t="s">
        <v>1534</v>
      </c>
      <c r="BB28" s="1025" t="s">
        <v>1535</v>
      </c>
      <c r="BC28" s="1025" t="s">
        <v>1536</v>
      </c>
      <c r="BE28" s="1025">
        <v>2026</v>
      </c>
      <c r="BH28" s="977" t="s">
        <v>18</v>
      </c>
      <c r="BJ28" s="975" t="s">
        <v>1421</v>
      </c>
      <c r="BL28" s="975" t="s">
        <v>1421</v>
      </c>
      <c r="BN28" s="977" t="s">
        <v>18</v>
      </c>
      <c r="BQ28" s="1203">
        <v>4190073</v>
      </c>
      <c r="BR28" s="975" t="s">
        <v>1537</v>
      </c>
      <c r="BS28" s="1346"/>
      <c r="BV28" s="977"/>
      <c r="BW28" s="977"/>
    </row>
    <row r="29" spans="1:82" ht="11.25" customHeight="1">
      <c r="A29" s="981" t="s">
        <v>1538</v>
      </c>
      <c r="D29" s="1009" t="s">
        <v>1539</v>
      </c>
      <c r="E29" s="1010" t="str">
        <f>IF(TEMPLATE_GROUP="","",INDEX(StartDateList,MATCH(TEMPLATE_GROUP,CodeTemplateList,0),1))</f>
        <v>01.04.2024</v>
      </c>
      <c r="F29" s="1010" t="str">
        <f>IF(TEMPLATE_GROUP="","",INDEX(EndDateList,MATCH(TEMPLATE_GROUP,CodeTemplateList,0),1))</f>
        <v>30.06.2024</v>
      </c>
      <c r="H29" s="1011" t="s">
        <v>1540</v>
      </c>
      <c r="AX29" s="1025" t="s">
        <v>1541</v>
      </c>
      <c r="AZ29" s="1025" t="s">
        <v>1187</v>
      </c>
      <c r="BB29" s="1025" t="s">
        <v>1389</v>
      </c>
      <c r="BC29" s="997"/>
      <c r="BE29" s="1025">
        <v>2027</v>
      </c>
      <c r="BJ29" s="975" t="s">
        <v>1429</v>
      </c>
      <c r="BL29" s="975" t="s">
        <v>1429</v>
      </c>
    </row>
    <row r="30" spans="1:82" ht="11.25" customHeight="1">
      <c r="A30" s="981" t="s">
        <v>1542</v>
      </c>
      <c r="D30" s="1012"/>
      <c r="E30" s="1013"/>
      <c r="F30" s="1013"/>
      <c r="AX30" s="1025" t="s">
        <v>1543</v>
      </c>
      <c r="AZ30" s="1025" t="s">
        <v>1215</v>
      </c>
      <c r="BE30" s="1025">
        <v>2028</v>
      </c>
      <c r="BJ30" s="975" t="s">
        <v>1544</v>
      </c>
      <c r="BL30" s="975" t="s">
        <v>1544</v>
      </c>
    </row>
    <row r="31" spans="1:82" ht="12.75" customHeight="1">
      <c r="A31" s="981" t="s">
        <v>1545</v>
      </c>
      <c r="D31" s="1006"/>
      <c r="E31" s="1007"/>
      <c r="F31" s="1007"/>
      <c r="H31" s="1014"/>
      <c r="AX31" s="1025" t="s">
        <v>1546</v>
      </c>
      <c r="AZ31" s="1025" t="s">
        <v>1547</v>
      </c>
      <c r="BE31" s="1025">
        <v>2029</v>
      </c>
      <c r="BJ31" s="975" t="s">
        <v>1548</v>
      </c>
      <c r="BL31" s="975" t="s">
        <v>1548</v>
      </c>
    </row>
    <row r="32" spans="1:82" ht="11.25" customHeight="1">
      <c r="A32" s="981" t="s">
        <v>1549</v>
      </c>
      <c r="D32" s="1009" t="s">
        <v>1550</v>
      </c>
      <c r="E32" s="1010" t="str">
        <f>IF(TEMPLATE_GROUP="","",INDEX(StartDateList,MATCH(TEMPLATE_GROUP,CodeTemplateList,0),1))</f>
        <v>01.04.2024</v>
      </c>
      <c r="F32" s="1010" t="str">
        <f>IF(TEMPLATE_GROUP="","",INDEX(EndDateList,MATCH(TEMPLATE_GROUP,CodeTemplateList,0),1))</f>
        <v>30.06.2024</v>
      </c>
      <c r="H32" s="1015" t="s">
        <v>1551</v>
      </c>
      <c r="O32" s="981" t="s">
        <v>1185</v>
      </c>
      <c r="AX32" s="1025" t="s">
        <v>1552</v>
      </c>
      <c r="AZ32" s="1025" t="s">
        <v>1283</v>
      </c>
      <c r="BE32" s="1025">
        <v>2030</v>
      </c>
      <c r="BJ32" s="975" t="s">
        <v>1438</v>
      </c>
      <c r="BL32" s="975" t="s">
        <v>1438</v>
      </c>
    </row>
    <row r="33" spans="1:66" ht="11.25" customHeight="1">
      <c r="A33" s="981" t="s">
        <v>1553</v>
      </c>
      <c r="O33" s="981" t="s">
        <v>1212</v>
      </c>
      <c r="AX33" s="1025" t="s">
        <v>1554</v>
      </c>
      <c r="AZ33" s="1025" t="s">
        <v>1186</v>
      </c>
      <c r="BE33" s="1025">
        <v>2031</v>
      </c>
      <c r="BJ33" s="975" t="s">
        <v>1445</v>
      </c>
      <c r="BL33" s="975" t="s">
        <v>1445</v>
      </c>
    </row>
    <row r="34" spans="1:66" ht="11.25" customHeight="1">
      <c r="A34" s="981" t="s">
        <v>1555</v>
      </c>
      <c r="O34" s="981" t="s">
        <v>1248</v>
      </c>
      <c r="AX34" s="1025" t="s">
        <v>1556</v>
      </c>
      <c r="BE34" s="1025">
        <v>2032</v>
      </c>
      <c r="BJ34" s="975" t="s">
        <v>1455</v>
      </c>
      <c r="BL34" s="975" t="s">
        <v>1455</v>
      </c>
    </row>
    <row r="35" spans="1:66" ht="11.25" customHeight="1">
      <c r="A35" s="981" t="s">
        <v>1557</v>
      </c>
      <c r="O35" s="981" t="s">
        <v>1281</v>
      </c>
      <c r="AX35" s="1025" t="s">
        <v>1558</v>
      </c>
      <c r="AZ35" s="974" t="s">
        <v>1559</v>
      </c>
      <c r="BE35" s="1025">
        <v>2033</v>
      </c>
      <c r="BL35" s="975" t="s">
        <v>1560</v>
      </c>
    </row>
    <row r="36" spans="1:66" ht="11.25" customHeight="1">
      <c r="A36" s="1782" t="s">
        <v>1561</v>
      </c>
      <c r="D36" s="1016" t="s">
        <v>1562</v>
      </c>
      <c r="E36" s="1017" t="s">
        <v>782</v>
      </c>
      <c r="F36" s="1018" t="str">
        <f>INDEX(E37:E41,MATCH(TEMPLATE_SPHERE,F37:F41,0))</f>
        <v>водоотведения</v>
      </c>
      <c r="G36" s="1018" t="str">
        <f>INDEX(G37:G41,MATCH(TEMPLATE_SPHERE,F37:F41,0))</f>
        <v>водоотведение</v>
      </c>
      <c r="O36" s="981" t="s">
        <v>1306</v>
      </c>
      <c r="AX36" s="1025" t="s">
        <v>1563</v>
      </c>
      <c r="AZ36" s="1025" t="s">
        <v>1186</v>
      </c>
      <c r="BE36" s="1025">
        <v>2034</v>
      </c>
      <c r="BL36" s="975" t="s">
        <v>1564</v>
      </c>
    </row>
    <row r="37" spans="1:66" ht="11.25" customHeight="1">
      <c r="A37" s="981" t="s">
        <v>1565</v>
      </c>
      <c r="E37" s="340" t="s">
        <v>1566</v>
      </c>
      <c r="F37" s="1019" t="s">
        <v>684</v>
      </c>
      <c r="G37" s="340" t="s">
        <v>1567</v>
      </c>
      <c r="O37" s="981" t="s">
        <v>1325</v>
      </c>
      <c r="AX37" s="1025" t="s">
        <v>1568</v>
      </c>
      <c r="AZ37" s="1025" t="s">
        <v>1214</v>
      </c>
      <c r="BE37" s="1025">
        <v>2035</v>
      </c>
    </row>
    <row r="38" spans="1:66" ht="11.25" customHeight="1">
      <c r="A38" s="981" t="s">
        <v>1569</v>
      </c>
      <c r="E38" s="340" t="s">
        <v>1570</v>
      </c>
      <c r="F38" s="1020" t="s">
        <v>730</v>
      </c>
      <c r="G38" s="340" t="s">
        <v>1571</v>
      </c>
      <c r="O38" s="981" t="s">
        <v>1341</v>
      </c>
      <c r="AX38" s="1025" t="s">
        <v>1572</v>
      </c>
      <c r="AZ38" s="1025" t="s">
        <v>1249</v>
      </c>
      <c r="BE38" s="1025">
        <v>2036</v>
      </c>
      <c r="BH38" s="974" t="s">
        <v>1573</v>
      </c>
      <c r="BJ38" s="974" t="s">
        <v>1574</v>
      </c>
      <c r="BL38" s="974" t="s">
        <v>1575</v>
      </c>
      <c r="BN38" s="974" t="s">
        <v>1576</v>
      </c>
    </row>
    <row r="39" spans="1:66" ht="11.25" customHeight="1">
      <c r="A39" s="981" t="s">
        <v>1577</v>
      </c>
      <c r="E39" s="340" t="s">
        <v>1578</v>
      </c>
      <c r="F39" s="1020" t="s">
        <v>782</v>
      </c>
      <c r="G39" s="340" t="s">
        <v>1579</v>
      </c>
      <c r="O39" s="981" t="s">
        <v>1357</v>
      </c>
      <c r="AX39" s="1025" t="s">
        <v>1580</v>
      </c>
      <c r="AZ39" s="1025" t="s">
        <v>1282</v>
      </c>
      <c r="BE39" s="1025">
        <v>2037</v>
      </c>
      <c r="BH39" s="975" t="s">
        <v>1581</v>
      </c>
      <c r="BJ39" s="1123" t="s">
        <v>1581</v>
      </c>
      <c r="BL39" s="1123" t="s">
        <v>1581</v>
      </c>
      <c r="BN39" s="975" t="s">
        <v>1582</v>
      </c>
    </row>
    <row r="40" spans="1:66" ht="11.25" customHeight="1">
      <c r="A40" s="981" t="s">
        <v>1583</v>
      </c>
      <c r="E40" s="340" t="s">
        <v>1584</v>
      </c>
      <c r="F40" s="1020" t="s">
        <v>768</v>
      </c>
      <c r="G40" s="340" t="s">
        <v>1585</v>
      </c>
      <c r="O40" s="981" t="s">
        <v>1373</v>
      </c>
      <c r="AX40" s="1025" t="s">
        <v>1586</v>
      </c>
      <c r="BE40" s="1025">
        <v>2038</v>
      </c>
      <c r="BH40" s="975" t="s">
        <v>1587</v>
      </c>
      <c r="BJ40" s="1123" t="s">
        <v>903</v>
      </c>
      <c r="BL40" s="1123" t="s">
        <v>903</v>
      </c>
      <c r="BN40" s="975" t="s">
        <v>937</v>
      </c>
    </row>
    <row r="41" spans="1:66" ht="11.25" customHeight="1">
      <c r="A41" s="981" t="s">
        <v>1588</v>
      </c>
      <c r="E41" s="340" t="s">
        <v>1589</v>
      </c>
      <c r="F41" s="1020" t="s">
        <v>1590</v>
      </c>
      <c r="G41" s="340" t="s">
        <v>1589</v>
      </c>
      <c r="O41" s="981" t="s">
        <v>1389</v>
      </c>
      <c r="AX41" s="1025" t="s">
        <v>1591</v>
      </c>
      <c r="AZ41" s="974" t="s">
        <v>1592</v>
      </c>
      <c r="BE41" s="1025">
        <v>2039</v>
      </c>
      <c r="BH41" s="975" t="s">
        <v>1593</v>
      </c>
      <c r="BJ41" s="1123" t="s">
        <v>899</v>
      </c>
      <c r="BL41" s="1123" t="s">
        <v>899</v>
      </c>
      <c r="BN41" s="975" t="s">
        <v>924</v>
      </c>
    </row>
    <row r="42" spans="1:66" ht="11.25" customHeight="1">
      <c r="A42" s="981" t="s">
        <v>1594</v>
      </c>
      <c r="AX42" s="1025" t="s">
        <v>1595</v>
      </c>
      <c r="AZ42" s="1025" t="s">
        <v>1185</v>
      </c>
      <c r="BE42" s="1025">
        <v>2040</v>
      </c>
      <c r="BH42" s="975" t="s">
        <v>921</v>
      </c>
      <c r="BJ42" s="1123" t="s">
        <v>901</v>
      </c>
      <c r="BL42" s="1123" t="s">
        <v>901</v>
      </c>
      <c r="BN42" s="975" t="s">
        <v>1596</v>
      </c>
    </row>
    <row r="43" spans="1:66" ht="11.25" customHeight="1">
      <c r="A43" s="981" t="s">
        <v>1597</v>
      </c>
      <c r="AX43" s="1025" t="s">
        <v>1598</v>
      </c>
      <c r="AZ43" s="1025" t="s">
        <v>1212</v>
      </c>
      <c r="BE43" s="1025">
        <v>2041</v>
      </c>
      <c r="BH43" s="975" t="s">
        <v>1599</v>
      </c>
      <c r="BJ43" s="1123" t="s">
        <v>1593</v>
      </c>
      <c r="BL43" s="1123" t="s">
        <v>1593</v>
      </c>
      <c r="BN43" s="975" t="s">
        <v>1600</v>
      </c>
    </row>
    <row r="44" spans="1:66" ht="11.25" customHeight="1">
      <c r="A44" s="981" t="s">
        <v>1601</v>
      </c>
      <c r="I44" s="717" t="s">
        <v>1602</v>
      </c>
      <c r="J44" s="996" t="s">
        <v>1603</v>
      </c>
      <c r="K44" s="996" t="s">
        <v>1604</v>
      </c>
      <c r="AX44" s="1025" t="s">
        <v>1605</v>
      </c>
      <c r="AZ44" s="1025" t="s">
        <v>1248</v>
      </c>
      <c r="BE44" s="1025">
        <v>2042</v>
      </c>
      <c r="BH44" s="975" t="s">
        <v>1606</v>
      </c>
      <c r="BJ44" s="1123" t="s">
        <v>921</v>
      </c>
      <c r="BL44" s="1123" t="s">
        <v>921</v>
      </c>
      <c r="BN44" s="975" t="s">
        <v>1607</v>
      </c>
    </row>
    <row r="45" spans="1:66" ht="11.25" customHeight="1">
      <c r="A45" s="981" t="s">
        <v>1608</v>
      </c>
      <c r="D45" s="1016" t="s">
        <v>1609</v>
      </c>
      <c r="E45" s="1017" t="s">
        <v>1610</v>
      </c>
      <c r="F45" s="715" t="s">
        <v>1611</v>
      </c>
      <c r="G45" s="714" t="s">
        <v>1612</v>
      </c>
      <c r="H45" s="717" t="s">
        <v>1613</v>
      </c>
      <c r="I45" s="1653" t="b">
        <f>INDEX(PeriodIsEmptyList,MATCH(TEMPLATE_GROUP,CodeTemplateList,0),1)</f>
        <v>0</v>
      </c>
      <c r="J45" s="1656"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5" s="165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25" t="s">
        <v>1614</v>
      </c>
      <c r="AZ45" s="1025" t="s">
        <v>1281</v>
      </c>
      <c r="BE45" s="1025">
        <v>2043</v>
      </c>
      <c r="BH45" s="975" t="s">
        <v>1615</v>
      </c>
      <c r="BJ45" s="1123" t="s">
        <v>915</v>
      </c>
      <c r="BL45" s="1123" t="s">
        <v>915</v>
      </c>
      <c r="BN45" s="975" t="s">
        <v>1616</v>
      </c>
    </row>
    <row r="46" spans="1:66" ht="11.25" customHeight="1">
      <c r="A46" s="981" t="s">
        <v>1617</v>
      </c>
      <c r="E46" s="340" t="s">
        <v>23</v>
      </c>
      <c r="F46" s="1019" t="s">
        <v>1618</v>
      </c>
      <c r="G46" s="1021"/>
      <c r="H46" s="1021"/>
      <c r="I46" s="1654" t="b">
        <f>IF(TITLE_DATE_FIL="",TRUE,FALSE)</f>
        <v>1</v>
      </c>
      <c r="J46" s="1657" t="str">
        <f>"Общая информация о регулируемой организации ("&amp;TEMPLATE_SPHERE_RUS&amp;")"</f>
        <v>Общая информация о регулируемой организации (водоотведения)</v>
      </c>
      <c r="K46" s="1658"/>
      <c r="AX46" s="1025" t="s">
        <v>1619</v>
      </c>
      <c r="AZ46" s="1025" t="s">
        <v>1306</v>
      </c>
      <c r="BE46" s="1025">
        <v>2044</v>
      </c>
      <c r="BH46" s="975" t="s">
        <v>924</v>
      </c>
      <c r="BJ46" s="1123" t="s">
        <v>905</v>
      </c>
      <c r="BL46" s="1123" t="s">
        <v>905</v>
      </c>
      <c r="BN46" s="975" t="s">
        <v>1620</v>
      </c>
    </row>
    <row r="47" spans="1:66" ht="11.25" customHeight="1">
      <c r="A47" s="981" t="s">
        <v>14</v>
      </c>
      <c r="E47" s="340" t="s">
        <v>29</v>
      </c>
      <c r="F47" s="1020" t="s">
        <v>1610</v>
      </c>
      <c r="G47" s="1022" t="str">
        <f>IF(f_year="","",IF(LEN(f_quart)=0,"",IF(f_quart="I квартал","01.01."&amp;f_year,IF(f_quart="II квартал","01.04."&amp;f_year,(IF(f_quart="III квартал","01.07."&amp;f_year,"01.10."&amp;f_year))))))</f>
        <v>01.04.2024</v>
      </c>
      <c r="H47" s="1022" t="str">
        <f>IF(f_year="","",IF(LEN(f_quart)=0,"",IF(f_quart="I квартал","31.03."&amp;f_year,IF(f_quart="II квартал","30.06."&amp;f_year,(IF(f_quart="III квартал","30.09."&amp;f_year,"31.12."&amp;f_year))))))</f>
        <v>30.06.2024</v>
      </c>
      <c r="I47" s="1655" t="b">
        <f>IF(OR(f_year="",f_quart=""),TRUE,FALSE)</f>
        <v>0</v>
      </c>
      <c r="J47" s="165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658"/>
      <c r="AX47" s="1025" t="s">
        <v>1621</v>
      </c>
      <c r="AZ47" s="1025" t="s">
        <v>1325</v>
      </c>
      <c r="BE47" s="1025">
        <v>2045</v>
      </c>
      <c r="BH47" s="975" t="s">
        <v>1596</v>
      </c>
      <c r="BJ47" s="1123" t="s">
        <v>907</v>
      </c>
      <c r="BL47" s="1123" t="s">
        <v>907</v>
      </c>
      <c r="BN47" s="975" t="s">
        <v>1622</v>
      </c>
    </row>
    <row r="48" spans="1:66" ht="11.25" customHeight="1">
      <c r="A48" s="981" t="s">
        <v>1623</v>
      </c>
      <c r="E48" s="340" t="s">
        <v>1624</v>
      </c>
      <c r="F48" s="1020" t="s">
        <v>1625</v>
      </c>
      <c r="G48" s="1022" t="str">
        <f>IF(f_year="","","01.01."&amp;f_year)</f>
        <v>01.01.2024</v>
      </c>
      <c r="H48" s="1022" t="str">
        <f>IF(f_year="","","31.12."&amp;f_year)</f>
        <v>31.12.2024</v>
      </c>
      <c r="I48" s="1654" t="b">
        <f>IF(f_year="",TRUE,FALSE)</f>
        <v>0</v>
      </c>
      <c r="J48" s="1657" t="s">
        <v>1626</v>
      </c>
      <c r="K48" s="1658"/>
      <c r="AX48" s="1025" t="s">
        <v>1627</v>
      </c>
      <c r="AZ48" s="1025" t="s">
        <v>1341</v>
      </c>
      <c r="BE48" s="1025">
        <v>2046</v>
      </c>
      <c r="BH48" s="975" t="s">
        <v>1600</v>
      </c>
      <c r="BJ48" s="1123" t="s">
        <v>909</v>
      </c>
      <c r="BL48" s="1123" t="s">
        <v>909</v>
      </c>
      <c r="BN48" s="975" t="s">
        <v>1628</v>
      </c>
    </row>
    <row r="49" spans="1:64" ht="11.25" customHeight="1">
      <c r="A49" s="981" t="s">
        <v>1629</v>
      </c>
      <c r="E49" s="340" t="s">
        <v>1630</v>
      </c>
      <c r="F49" s="1020" t="s">
        <v>1631</v>
      </c>
      <c r="G49" s="1022" t="str">
        <f>IF(f_year="","","01.01."&amp;f_year)</f>
        <v>01.01.2024</v>
      </c>
      <c r="H49" s="1022" t="str">
        <f>IF(f_year="","","31.12."&amp;f_year)</f>
        <v>31.12.2024</v>
      </c>
      <c r="I49" s="1654" t="b">
        <f>IF(f_year="",TRUE,FALSE)</f>
        <v>0</v>
      </c>
      <c r="J49" s="165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658"/>
      <c r="AX49" s="1025" t="s">
        <v>1632</v>
      </c>
      <c r="AZ49" s="1025" t="s">
        <v>1357</v>
      </c>
      <c r="BE49" s="1025">
        <v>2047</v>
      </c>
      <c r="BH49" s="975" t="s">
        <v>925</v>
      </c>
      <c r="BJ49" s="1123" t="s">
        <v>911</v>
      </c>
      <c r="BL49" s="1123" t="s">
        <v>911</v>
      </c>
    </row>
    <row r="50" spans="1:64" ht="11.25" customHeight="1">
      <c r="A50" s="981" t="s">
        <v>1633</v>
      </c>
      <c r="E50" s="340" t="s">
        <v>1634</v>
      </c>
      <c r="F50" s="1020" t="s">
        <v>895</v>
      </c>
      <c r="G50" s="1022" t="str">
        <f>IF(f_year="","","01.01."&amp;f_year)</f>
        <v>01.01.2024</v>
      </c>
      <c r="H50" s="1022" t="str">
        <f>IF(f_year="","","31.12."&amp;f_year)</f>
        <v>31.12.2024</v>
      </c>
      <c r="I50" s="1654" t="b">
        <f>IF(f_year="",TRUE,FALSE)</f>
        <v>0</v>
      </c>
      <c r="J50" s="165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658"/>
      <c r="AX50" s="1025" t="s">
        <v>1635</v>
      </c>
      <c r="AZ50" s="1025" t="s">
        <v>1373</v>
      </c>
      <c r="BE50" s="1025">
        <v>2048</v>
      </c>
      <c r="BH50" s="975" t="s">
        <v>1607</v>
      </c>
      <c r="BJ50" s="1123" t="s">
        <v>913</v>
      </c>
      <c r="BL50" s="1123" t="s">
        <v>913</v>
      </c>
    </row>
    <row r="51" spans="1:64" ht="11.25" customHeight="1">
      <c r="A51" s="981" t="s">
        <v>1636</v>
      </c>
      <c r="E51" s="340" t="s">
        <v>1637</v>
      </c>
      <c r="F51" s="1020" t="s">
        <v>1638</v>
      </c>
      <c r="G51" s="1022" t="str">
        <f>IF(TITLE_PERIOD_START="","",TITLE_PERIOD_START)</f>
        <v/>
      </c>
      <c r="H51" s="1022" t="str">
        <f>IF(TITLE_PERIOD_END="","",TITLE_PERIOD_END)</f>
        <v/>
      </c>
      <c r="I51" s="1655" t="b">
        <f>IF(OR(TITLE_PERIOD_START="",TITLE_PERIOD_END=""),TRUE,FALSE)</f>
        <v>1</v>
      </c>
      <c r="J51" s="165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58"/>
      <c r="AX51" s="1025" t="s">
        <v>1639</v>
      </c>
      <c r="AZ51" s="1025" t="s">
        <v>1389</v>
      </c>
      <c r="BE51" s="1025">
        <v>2049</v>
      </c>
      <c r="BH51" s="975" t="s">
        <v>1616</v>
      </c>
      <c r="BJ51" s="1123" t="s">
        <v>1640</v>
      </c>
      <c r="BL51" s="1123" t="s">
        <v>1640</v>
      </c>
    </row>
    <row r="52" spans="1:64" ht="11.25" customHeight="1">
      <c r="A52" s="981" t="s">
        <v>1641</v>
      </c>
      <c r="E52" s="340" t="s">
        <v>1642</v>
      </c>
      <c r="F52" s="1020" t="s">
        <v>1643</v>
      </c>
      <c r="G52" s="1022" t="str">
        <f>IF(TITLE_PERIOD_START="","",TITLE_PERIOD_START)</f>
        <v/>
      </c>
      <c r="H52" s="1022" t="str">
        <f>IF(TITLE_PERIOD_END="","",TITLE_PERIOD_END)</f>
        <v/>
      </c>
      <c r="I52" s="1655" t="b">
        <f>IF(OR(TITLE_PERIOD_START="",TITLE_PERIOD_END=""),TRUE,FALSE)</f>
        <v>1</v>
      </c>
      <c r="J52" s="1657" t="str">
        <f>"Показатели, подлежащие раскрытию в сфере "&amp;TEMPLATE_SPHERE_RUS&amp;" (цены и тарифы)"</f>
        <v>Показатели, подлежащие раскрытию в сфере водоотведения (цены и тарифы)</v>
      </c>
      <c r="K52" s="1658"/>
      <c r="AX52" s="1025" t="s">
        <v>1644</v>
      </c>
      <c r="AZ52" s="1025" t="s">
        <v>1186</v>
      </c>
      <c r="BE52" s="1025">
        <v>2050</v>
      </c>
      <c r="BH52" s="975" t="s">
        <v>1620</v>
      </c>
      <c r="BJ52" s="1123" t="s">
        <v>924</v>
      </c>
      <c r="BL52" s="1123" t="s">
        <v>924</v>
      </c>
    </row>
    <row r="53" spans="1:64" ht="11.25" customHeight="1">
      <c r="A53" s="981" t="s">
        <v>1645</v>
      </c>
      <c r="E53" s="340" t="s">
        <v>1646</v>
      </c>
      <c r="F53" s="1020" t="s">
        <v>1646</v>
      </c>
      <c r="G53" s="1022" t="str">
        <f>IF(f_year="","","01.01."&amp;f_year)</f>
        <v>01.01.2024</v>
      </c>
      <c r="H53" s="1022" t="str">
        <f>IF(f_year="","","31.12."&amp;f_year)</f>
        <v>31.12.2024</v>
      </c>
      <c r="I53" s="1654" t="b">
        <f>IF(AND(f_year="",TITLE_DATE_FIL=""),TRUE,FALSE)</f>
        <v>0</v>
      </c>
      <c r="J53" s="1657" t="s">
        <v>1647</v>
      </c>
      <c r="K53" s="1658"/>
      <c r="AX53" s="1025" t="s">
        <v>1648</v>
      </c>
      <c r="BE53" s="1025">
        <v>2051</v>
      </c>
      <c r="BH53" s="975" t="s">
        <v>1622</v>
      </c>
      <c r="BJ53" s="1123" t="s">
        <v>1596</v>
      </c>
      <c r="BL53" s="1123" t="s">
        <v>1596</v>
      </c>
    </row>
    <row r="54" spans="1:64" ht="11.25" customHeight="1">
      <c r="A54" s="981" t="s">
        <v>1649</v>
      </c>
      <c r="AX54" s="1025" t="s">
        <v>1650</v>
      </c>
      <c r="AZ54" s="974" t="s">
        <v>1651</v>
      </c>
      <c r="BE54" s="1025">
        <v>2052</v>
      </c>
      <c r="BH54" s="975" t="s">
        <v>1628</v>
      </c>
      <c r="BJ54" s="1123" t="s">
        <v>1600</v>
      </c>
      <c r="BL54" s="1123" t="s">
        <v>1600</v>
      </c>
    </row>
    <row r="55" spans="1:64" ht="11.25" customHeight="1">
      <c r="A55" s="981" t="s">
        <v>1652</v>
      </c>
      <c r="AX55" s="1025" t="s">
        <v>1653</v>
      </c>
      <c r="AZ55" s="1025" t="s">
        <v>1188</v>
      </c>
      <c r="BE55" s="1025">
        <v>2053</v>
      </c>
      <c r="BH55" s="977" t="s">
        <v>18</v>
      </c>
      <c r="BJ55" s="1123" t="s">
        <v>925</v>
      </c>
      <c r="BL55" s="1123" t="s">
        <v>925</v>
      </c>
    </row>
    <row r="56" spans="1:64" ht="11.25" customHeight="1">
      <c r="A56" s="981" t="s">
        <v>1654</v>
      </c>
      <c r="D56" s="1024" t="s">
        <v>1655</v>
      </c>
      <c r="E56" s="1001">
        <v>55</v>
      </c>
      <c r="F56" s="981" t="s">
        <v>1656</v>
      </c>
      <c r="AX56" s="1025" t="s">
        <v>1657</v>
      </c>
      <c r="AZ56" s="1025" t="s">
        <v>1216</v>
      </c>
      <c r="BE56" s="1025">
        <v>2054</v>
      </c>
      <c r="BH56" s="977" t="s">
        <v>18</v>
      </c>
      <c r="BJ56" s="1123" t="s">
        <v>1607</v>
      </c>
      <c r="BL56" s="1123" t="s">
        <v>1607</v>
      </c>
    </row>
    <row r="57" spans="1:64" ht="11.25" customHeight="1">
      <c r="A57" s="981" t="s">
        <v>1658</v>
      </c>
      <c r="D57" s="1024" t="s">
        <v>1659</v>
      </c>
      <c r="E57" s="1001">
        <v>66</v>
      </c>
      <c r="F57" s="981" t="s">
        <v>1656</v>
      </c>
      <c r="AX57" s="1025" t="s">
        <v>1660</v>
      </c>
      <c r="AZ57" s="1025" t="s">
        <v>1251</v>
      </c>
      <c r="BE57" s="1025">
        <v>2055</v>
      </c>
      <c r="BJ57" s="1123" t="s">
        <v>1616</v>
      </c>
      <c r="BL57" s="1123" t="s">
        <v>1616</v>
      </c>
    </row>
    <row r="58" spans="1:64" ht="11.25" customHeight="1">
      <c r="A58" s="981" t="s">
        <v>1661</v>
      </c>
      <c r="D58" s="1024" t="s">
        <v>1662</v>
      </c>
      <c r="E58" s="1001">
        <v>44</v>
      </c>
      <c r="F58" s="981" t="s">
        <v>1656</v>
      </c>
      <c r="AX58" s="1025" t="s">
        <v>1663</v>
      </c>
      <c r="BE58" s="1025">
        <v>2056</v>
      </c>
      <c r="BJ58" s="1123" t="s">
        <v>1620</v>
      </c>
      <c r="BL58" s="1123" t="s">
        <v>1620</v>
      </c>
    </row>
    <row r="59" spans="1:64" ht="11.25" customHeight="1">
      <c r="A59" s="981" t="s">
        <v>1664</v>
      </c>
      <c r="D59" s="1024" t="s">
        <v>113</v>
      </c>
      <c r="E59" s="1001" t="s">
        <v>1486</v>
      </c>
      <c r="F59" s="981" t="s">
        <v>1665</v>
      </c>
      <c r="AX59" s="1025" t="s">
        <v>1666</v>
      </c>
      <c r="AZ59" s="974" t="s">
        <v>1667</v>
      </c>
      <c r="BE59" s="1025">
        <v>2057</v>
      </c>
      <c r="BJ59" s="1123" t="s">
        <v>1622</v>
      </c>
      <c r="BL59" s="1123" t="s">
        <v>1622</v>
      </c>
    </row>
    <row r="60" spans="1:64" ht="11.25" customHeight="1">
      <c r="A60" s="981" t="s">
        <v>1668</v>
      </c>
      <c r="D60" s="1024" t="s">
        <v>1669</v>
      </c>
      <c r="E60" s="1001" t="s">
        <v>1486</v>
      </c>
      <c r="F60" s="981" t="s">
        <v>1665</v>
      </c>
      <c r="AX60" s="1025" t="s">
        <v>1670</v>
      </c>
      <c r="AZ60" s="1025" t="s">
        <v>1189</v>
      </c>
      <c r="BE60" s="1025">
        <v>2058</v>
      </c>
      <c r="BJ60" s="1123" t="s">
        <v>1628</v>
      </c>
      <c r="BL60" s="1123" t="s">
        <v>1628</v>
      </c>
    </row>
    <row r="61" spans="1:64" ht="11.25" customHeight="1">
      <c r="A61" s="981" t="s">
        <v>1671</v>
      </c>
      <c r="D61" s="1024" t="s">
        <v>1672</v>
      </c>
      <c r="E61" s="1001">
        <v>26</v>
      </c>
      <c r="F61" s="981" t="s">
        <v>1665</v>
      </c>
      <c r="AX61" s="1025" t="s">
        <v>1673</v>
      </c>
      <c r="AZ61" s="1025" t="s">
        <v>1217</v>
      </c>
      <c r="BE61" s="1025">
        <v>2059</v>
      </c>
      <c r="BL61" s="1123" t="s">
        <v>917</v>
      </c>
    </row>
    <row r="62" spans="1:64" ht="11.25" customHeight="1">
      <c r="A62" s="981" t="s">
        <v>1674</v>
      </c>
      <c r="D62" s="1024" t="s">
        <v>112</v>
      </c>
      <c r="E62" s="1001">
        <v>30</v>
      </c>
      <c r="F62" s="981" t="s">
        <v>1665</v>
      </c>
      <c r="AZ62" s="1025" t="s">
        <v>1252</v>
      </c>
      <c r="BE62" s="1025">
        <v>2060</v>
      </c>
      <c r="BL62" s="1123" t="s">
        <v>919</v>
      </c>
    </row>
    <row r="63" spans="1:64" ht="11.25" customHeight="1">
      <c r="A63" s="981" t="s">
        <v>1675</v>
      </c>
      <c r="D63" s="1024" t="s">
        <v>1676</v>
      </c>
      <c r="E63" s="1001">
        <v>30</v>
      </c>
      <c r="F63" s="981" t="s">
        <v>1665</v>
      </c>
      <c r="AZ63" s="1025" t="s">
        <v>1284</v>
      </c>
      <c r="BE63" s="1025">
        <v>2061</v>
      </c>
    </row>
    <row r="64" spans="1:64" ht="11.25" customHeight="1">
      <c r="A64" s="981" t="s">
        <v>1677</v>
      </c>
      <c r="D64" s="1024" t="s">
        <v>1678</v>
      </c>
      <c r="E64" s="1001">
        <v>30</v>
      </c>
      <c r="F64" s="981" t="s">
        <v>1665</v>
      </c>
      <c r="AZ64" s="1025" t="s">
        <v>1307</v>
      </c>
      <c r="BE64" s="1025">
        <v>2062</v>
      </c>
    </row>
    <row r="65" spans="1:66" ht="11.25" customHeight="1">
      <c r="A65" s="981" t="s">
        <v>1679</v>
      </c>
      <c r="D65" s="981"/>
      <c r="BE65" s="1025">
        <v>2063</v>
      </c>
    </row>
    <row r="66" spans="1:66" ht="11.25" customHeight="1">
      <c r="A66" s="981" t="s">
        <v>1680</v>
      </c>
      <c r="AZ66" s="974" t="s">
        <v>1681</v>
      </c>
      <c r="BE66" s="1025">
        <v>2064</v>
      </c>
    </row>
    <row r="67" spans="1:66" ht="11.25" customHeight="1">
      <c r="A67" s="981" t="s">
        <v>1682</v>
      </c>
      <c r="AZ67" s="1025" t="s">
        <v>1190</v>
      </c>
      <c r="BE67" s="1025">
        <v>2065</v>
      </c>
    </row>
    <row r="68" spans="1:66" ht="11.25" customHeight="1">
      <c r="A68" s="981" t="s">
        <v>1683</v>
      </c>
      <c r="AZ68" s="1025" t="s">
        <v>1218</v>
      </c>
      <c r="BE68" s="1025">
        <v>2066</v>
      </c>
      <c r="BH68" s="974" t="s">
        <v>1684</v>
      </c>
      <c r="BJ68" s="974" t="s">
        <v>1685</v>
      </c>
      <c r="BL68" s="974" t="s">
        <v>1686</v>
      </c>
      <c r="BN68" s="974" t="s">
        <v>1687</v>
      </c>
    </row>
    <row r="69" spans="1:66" ht="11.25" customHeight="1">
      <c r="A69" s="981" t="s">
        <v>1688</v>
      </c>
      <c r="AZ69" s="1025" t="s">
        <v>1253</v>
      </c>
      <c r="BE69" s="1025">
        <v>2067</v>
      </c>
      <c r="BH69" s="975" t="s">
        <v>1689</v>
      </c>
      <c r="BI69" s="1023" t="s">
        <v>91</v>
      </c>
      <c r="BJ69" s="975" t="s">
        <v>1690</v>
      </c>
      <c r="BK69" s="1023" t="s">
        <v>91</v>
      </c>
      <c r="BL69" s="975" t="s">
        <v>1691</v>
      </c>
      <c r="BN69" s="975" t="s">
        <v>1692</v>
      </c>
    </row>
    <row r="70" spans="1:66" ht="11.25" customHeight="1">
      <c r="A70" s="981" t="s">
        <v>1693</v>
      </c>
      <c r="AZ70" s="1025" t="s">
        <v>1285</v>
      </c>
      <c r="BE70" s="1025">
        <v>2068</v>
      </c>
      <c r="BH70" s="975" t="s">
        <v>1694</v>
      </c>
      <c r="BJ70" s="975" t="s">
        <v>1695</v>
      </c>
      <c r="BL70" s="975" t="s">
        <v>1696</v>
      </c>
      <c r="BN70" s="975" t="s">
        <v>1697</v>
      </c>
    </row>
    <row r="71" spans="1:66" ht="11.25" customHeight="1">
      <c r="A71" s="981" t="s">
        <v>1698</v>
      </c>
      <c r="AZ71" s="1025" t="s">
        <v>1287</v>
      </c>
      <c r="BE71" s="1025">
        <v>2069</v>
      </c>
      <c r="BH71" s="975" t="s">
        <v>1699</v>
      </c>
      <c r="BI71" s="1023" t="s">
        <v>75</v>
      </c>
      <c r="BJ71" s="975" t="s">
        <v>1700</v>
      </c>
      <c r="BK71" s="1023" t="s">
        <v>75</v>
      </c>
      <c r="BL71" s="975" t="s">
        <v>1701</v>
      </c>
      <c r="BN71" s="975" t="s">
        <v>1702</v>
      </c>
    </row>
    <row r="72" spans="1:66" ht="11.25" customHeight="1">
      <c r="A72" s="981" t="s">
        <v>1703</v>
      </c>
      <c r="AZ72" s="1025" t="s">
        <v>48</v>
      </c>
      <c r="BE72" s="1025">
        <v>2070</v>
      </c>
      <c r="BH72" s="975" t="s">
        <v>1704</v>
      </c>
      <c r="BJ72" s="975" t="s">
        <v>1704</v>
      </c>
      <c r="BL72" s="975" t="s">
        <v>1704</v>
      </c>
      <c r="BN72" s="975" t="s">
        <v>1705</v>
      </c>
    </row>
    <row r="73" spans="1:66" ht="11.25" customHeight="1">
      <c r="A73" s="981" t="s">
        <v>1706</v>
      </c>
      <c r="BH73" s="975" t="s">
        <v>1707</v>
      </c>
      <c r="BI73" s="1023" t="s">
        <v>93</v>
      </c>
      <c r="BJ73" s="975" t="s">
        <v>1708</v>
      </c>
      <c r="BK73" s="1023" t="s">
        <v>93</v>
      </c>
      <c r="BL73" s="975" t="s">
        <v>1709</v>
      </c>
      <c r="BN73" s="975" t="s">
        <v>1710</v>
      </c>
    </row>
    <row r="74" spans="1:66" ht="11.25" customHeight="1">
      <c r="A74" s="981" t="s">
        <v>1711</v>
      </c>
      <c r="BH74" s="975" t="s">
        <v>1712</v>
      </c>
      <c r="BJ74" s="975" t="s">
        <v>1713</v>
      </c>
      <c r="BL74" s="975" t="s">
        <v>1714</v>
      </c>
      <c r="BN74" s="975" t="s">
        <v>1715</v>
      </c>
    </row>
    <row r="75" spans="1:66" ht="11.25" customHeight="1">
      <c r="A75" s="981" t="s">
        <v>1716</v>
      </c>
      <c r="AZ75" s="974" t="s">
        <v>1717</v>
      </c>
      <c r="BH75" s="975" t="s">
        <v>1718</v>
      </c>
      <c r="BJ75" s="975" t="s">
        <v>1718</v>
      </c>
      <c r="BL75" s="975" t="s">
        <v>1718</v>
      </c>
    </row>
    <row r="76" spans="1:66" ht="11.25" customHeight="1">
      <c r="A76" s="981" t="s">
        <v>1719</v>
      </c>
      <c r="AZ76" s="1025" t="s">
        <v>1199</v>
      </c>
      <c r="BH76" s="975" t="s">
        <v>1720</v>
      </c>
      <c r="BJ76" s="975" t="s">
        <v>1721</v>
      </c>
      <c r="BL76" s="975" t="s">
        <v>1722</v>
      </c>
    </row>
    <row r="77" spans="1:66" ht="11.25" customHeight="1">
      <c r="A77" s="981" t="s">
        <v>1723</v>
      </c>
      <c r="AZ77" s="1025" t="s">
        <v>1228</v>
      </c>
    </row>
    <row r="78" spans="1:66" ht="11.25" customHeight="1">
      <c r="A78" s="981" t="s">
        <v>1724</v>
      </c>
      <c r="AZ78" s="1025" t="s">
        <v>1260</v>
      </c>
    </row>
    <row r="79" spans="1:66" ht="11.25" customHeight="1">
      <c r="A79" s="981" t="s">
        <v>1725</v>
      </c>
      <c r="AZ79" s="1025" t="s">
        <v>1291</v>
      </c>
      <c r="BH79" s="974" t="s">
        <v>1726</v>
      </c>
      <c r="BJ79" s="974" t="s">
        <v>1727</v>
      </c>
      <c r="BL79" s="974" t="s">
        <v>1728</v>
      </c>
    </row>
    <row r="80" spans="1:66" ht="11.25" customHeight="1">
      <c r="A80" s="981" t="s">
        <v>1729</v>
      </c>
      <c r="AZ80" s="1025" t="s">
        <v>1312</v>
      </c>
      <c r="BH80" s="975" t="s">
        <v>1730</v>
      </c>
      <c r="BJ80" s="975" t="s">
        <v>1731</v>
      </c>
      <c r="BL80" s="975" t="s">
        <v>1732</v>
      </c>
    </row>
    <row r="81" spans="1:66" ht="11.25" customHeight="1">
      <c r="A81" s="981" t="s">
        <v>1733</v>
      </c>
      <c r="AZ81" s="1025" t="s">
        <v>1329</v>
      </c>
      <c r="BH81" s="975" t="s">
        <v>1734</v>
      </c>
      <c r="BJ81" s="975" t="s">
        <v>1735</v>
      </c>
      <c r="BL81" s="975" t="s">
        <v>1736</v>
      </c>
    </row>
    <row r="82" spans="1:66" ht="11.25" customHeight="1">
      <c r="A82" s="981" t="s">
        <v>1737</v>
      </c>
      <c r="AZ82" s="1025" t="s">
        <v>1343</v>
      </c>
      <c r="BH82" s="975" t="s">
        <v>1738</v>
      </c>
      <c r="BJ82" s="975" t="s">
        <v>1739</v>
      </c>
      <c r="BL82" s="975" t="s">
        <v>1740</v>
      </c>
    </row>
    <row r="83" spans="1:66" ht="11.25" customHeight="1">
      <c r="A83" s="981" t="s">
        <v>1741</v>
      </c>
      <c r="BH83" s="975" t="s">
        <v>1742</v>
      </c>
      <c r="BJ83" s="975" t="s">
        <v>1743</v>
      </c>
      <c r="BL83" s="975" t="s">
        <v>1744</v>
      </c>
    </row>
    <row r="84" spans="1:66" ht="11.25" customHeight="1">
      <c r="A84" s="981" t="s">
        <v>1745</v>
      </c>
      <c r="AZ84" s="974" t="s">
        <v>1746</v>
      </c>
    </row>
    <row r="85" spans="1:66" ht="11.25" customHeight="1">
      <c r="A85" s="1782" t="s">
        <v>1747</v>
      </c>
      <c r="AZ85" s="1025" t="s">
        <v>1748</v>
      </c>
    </row>
    <row r="86" spans="1:66" ht="11.25" customHeight="1">
      <c r="A86" s="981" t="s">
        <v>1749</v>
      </c>
      <c r="AZ86" s="1025" t="s">
        <v>1750</v>
      </c>
      <c r="BH86" s="974" t="s">
        <v>1751</v>
      </c>
      <c r="BJ86" s="974" t="s">
        <v>1752</v>
      </c>
      <c r="BL86" s="974" t="s">
        <v>1753</v>
      </c>
    </row>
    <row r="87" spans="1:66" ht="11.25" customHeight="1">
      <c r="A87" s="981" t="s">
        <v>1754</v>
      </c>
      <c r="AZ87" s="1025" t="s">
        <v>1755</v>
      </c>
      <c r="BH87" s="975" t="s">
        <v>1756</v>
      </c>
      <c r="BJ87" s="975" t="s">
        <v>1757</v>
      </c>
      <c r="BL87" s="975" t="s">
        <v>1758</v>
      </c>
    </row>
    <row r="88" spans="1:66" ht="11.25" customHeight="1">
      <c r="A88" s="981" t="s">
        <v>1759</v>
      </c>
      <c r="AZ88" s="1525"/>
      <c r="BH88" s="975" t="s">
        <v>1760</v>
      </c>
      <c r="BJ88" s="975" t="s">
        <v>1761</v>
      </c>
      <c r="BL88" s="975" t="s">
        <v>1762</v>
      </c>
    </row>
    <row r="89" spans="1:66" ht="11.25" customHeight="1">
      <c r="A89" s="981" t="s">
        <v>1763</v>
      </c>
      <c r="AZ89" s="974" t="s">
        <v>1764</v>
      </c>
    </row>
    <row r="90" spans="1:66" ht="11.25" customHeight="1">
      <c r="A90" s="981" t="s">
        <v>1765</v>
      </c>
      <c r="AZ90" s="1025" t="s">
        <v>895</v>
      </c>
    </row>
    <row r="91" spans="1:66" ht="11.25" customHeight="1">
      <c r="A91" s="981" t="s">
        <v>1766</v>
      </c>
      <c r="AZ91" s="1025" t="s">
        <v>931</v>
      </c>
      <c r="BH91" s="974" t="s">
        <v>1767</v>
      </c>
      <c r="BJ91" s="974" t="s">
        <v>1768</v>
      </c>
      <c r="BL91" s="974" t="s">
        <v>1769</v>
      </c>
    </row>
    <row r="92" spans="1:66" ht="11.25" customHeight="1">
      <c r="AZ92" s="1025" t="s">
        <v>1770</v>
      </c>
      <c r="BH92" s="975" t="s">
        <v>1771</v>
      </c>
      <c r="BJ92" s="975" t="s">
        <v>1772</v>
      </c>
      <c r="BL92" s="975" t="s">
        <v>1773</v>
      </c>
    </row>
    <row r="93" spans="1:66" ht="11.25" customHeight="1">
      <c r="AZ93" s="1025" t="s">
        <v>1774</v>
      </c>
      <c r="BH93" s="975" t="s">
        <v>1775</v>
      </c>
      <c r="BJ93" s="975" t="s">
        <v>1776</v>
      </c>
      <c r="BL93" s="975" t="s">
        <v>1777</v>
      </c>
    </row>
    <row r="94" spans="1:66" ht="11.25" customHeight="1">
      <c r="AZ94" s="1025" t="s">
        <v>1778</v>
      </c>
    </row>
    <row r="96" spans="1:66" ht="11.25" customHeight="1">
      <c r="AZ96" s="974" t="s">
        <v>1779</v>
      </c>
      <c r="BH96" s="974" t="s">
        <v>1780</v>
      </c>
      <c r="BJ96" s="974" t="s">
        <v>1781</v>
      </c>
      <c r="BL96" s="974" t="s">
        <v>1782</v>
      </c>
      <c r="BN96" s="974" t="s">
        <v>1783</v>
      </c>
    </row>
    <row r="97" spans="52:66" ht="11.25" customHeight="1">
      <c r="AZ97" s="1025" t="s">
        <v>1784</v>
      </c>
      <c r="BH97" s="975" t="s">
        <v>1785</v>
      </c>
      <c r="BJ97" s="975" t="s">
        <v>1786</v>
      </c>
      <c r="BL97" s="975" t="s">
        <v>1787</v>
      </c>
      <c r="BN97" s="975" t="s">
        <v>1788</v>
      </c>
    </row>
    <row r="98" spans="52:66" ht="11.25" customHeight="1">
      <c r="AZ98" s="1025" t="s">
        <v>1789</v>
      </c>
      <c r="BH98" s="975" t="s">
        <v>1790</v>
      </c>
      <c r="BJ98" s="975" t="s">
        <v>1791</v>
      </c>
      <c r="BL98" s="975" t="s">
        <v>1792</v>
      </c>
      <c r="BN98" s="975" t="s">
        <v>1793</v>
      </c>
    </row>
    <row r="99" spans="52:66" ht="11.25" customHeight="1">
      <c r="AZ99" s="1025" t="s">
        <v>1794</v>
      </c>
      <c r="BH99" s="975" t="s">
        <v>1795</v>
      </c>
      <c r="BJ99" s="975" t="s">
        <v>1796</v>
      </c>
      <c r="BL99" s="975" t="s">
        <v>1797</v>
      </c>
      <c r="BN99" s="975" t="s">
        <v>1798</v>
      </c>
    </row>
    <row r="100" spans="52:66" ht="11.25" customHeight="1">
      <c r="BJ100" s="975" t="s">
        <v>1389</v>
      </c>
      <c r="BL100" s="975" t="s">
        <v>1389</v>
      </c>
      <c r="BN100" s="975" t="s">
        <v>1799</v>
      </c>
    </row>
    <row r="101" spans="52:66" ht="11.25" customHeight="1">
      <c r="AZ101" s="1605" t="s">
        <v>1800</v>
      </c>
      <c r="BN101" s="975" t="s">
        <v>1801</v>
      </c>
    </row>
    <row r="102" spans="52:66" ht="11.25" customHeight="1">
      <c r="AZ102" s="1025" t="s">
        <v>1802</v>
      </c>
      <c r="BN102" s="975" t="s">
        <v>1803</v>
      </c>
    </row>
    <row r="103" spans="52:66" ht="11.25" customHeight="1">
      <c r="AZ103" s="1025" t="s">
        <v>1804</v>
      </c>
      <c r="BN103" s="975" t="s">
        <v>1805</v>
      </c>
    </row>
    <row r="104" spans="52:66" ht="11.25" customHeight="1">
      <c r="AZ104" s="1025" t="s">
        <v>533</v>
      </c>
      <c r="BN104" s="975" t="s">
        <v>1806</v>
      </c>
    </row>
    <row r="107" spans="52:66" ht="11.25" customHeight="1">
      <c r="BH107" s="974" t="s">
        <v>1807</v>
      </c>
      <c r="BJ107" s="974" t="s">
        <v>1808</v>
      </c>
      <c r="BL107" s="974" t="s">
        <v>1809</v>
      </c>
      <c r="BN107" s="974" t="s">
        <v>1810</v>
      </c>
    </row>
    <row r="108" spans="52:66" ht="11.25" customHeight="1">
      <c r="BH108" s="975" t="s">
        <v>1811</v>
      </c>
      <c r="BJ108" s="975" t="s">
        <v>1812</v>
      </c>
      <c r="BL108" s="975" t="s">
        <v>1474</v>
      </c>
      <c r="BN108" s="975" t="s">
        <v>1813</v>
      </c>
    </row>
    <row r="109" spans="52:66" ht="11.25" customHeight="1">
      <c r="BH109" s="975" t="s">
        <v>1814</v>
      </c>
    </row>
    <row r="110" spans="52:66" ht="11.25" customHeight="1">
      <c r="BH110" s="975" t="s">
        <v>1814</v>
      </c>
    </row>
    <row r="114" spans="60:60" ht="11.25" customHeight="1">
      <c r="BH114" s="974" t="s">
        <v>1815</v>
      </c>
    </row>
    <row r="115" spans="60:60" ht="11.25" customHeight="1">
      <c r="BH115" s="975" t="s">
        <v>1186</v>
      </c>
    </row>
    <row r="116" spans="60:60" ht="11.25" customHeight="1">
      <c r="BH116" s="975" t="s">
        <v>1214</v>
      </c>
    </row>
    <row r="117" spans="60:60" ht="11.25" customHeight="1">
      <c r="BH117" s="975" t="s">
        <v>1249</v>
      </c>
    </row>
    <row r="118" spans="60:60" ht="11.25" customHeight="1">
      <c r="BH118" s="975" t="s">
        <v>1282</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1967"/>
    <col min="2" max="2" width="43.140625" style="1967" hidden="1"/>
    <col min="3" max="3" width="43.140625" style="1967"/>
    <col min="4" max="5" width="36.42578125" style="1967" customWidth="1"/>
    <col min="6" max="8" width="36.42578125" style="1968" customWidth="1"/>
  </cols>
  <sheetData>
    <row r="1" spans="1:8" ht="9" customHeight="1">
      <c r="A1" s="761" t="s">
        <v>1816</v>
      </c>
      <c r="B1" s="761"/>
      <c r="C1" s="892" t="s">
        <v>1817</v>
      </c>
      <c r="D1" s="891" t="s">
        <v>684</v>
      </c>
      <c r="E1" s="891" t="s">
        <v>730</v>
      </c>
      <c r="F1" s="891" t="s">
        <v>782</v>
      </c>
      <c r="G1" s="891" t="s">
        <v>768</v>
      </c>
      <c r="H1" s="891" t="s">
        <v>1590</v>
      </c>
    </row>
    <row r="2" spans="1:8" ht="9" customHeight="1">
      <c r="A2" s="893" t="s">
        <v>1818</v>
      </c>
      <c r="B2" s="893"/>
      <c r="C2" s="894" t="str">
        <f>INDEX(TEMPLATE_NUMBER_FORM_LIST,MATCH(TEMPLATE_SPHERE,TEMPLATE_SPHERE_LIST,0))</f>
        <v>10</v>
      </c>
      <c r="D2" s="893" t="s">
        <v>1440</v>
      </c>
      <c r="E2" s="893" t="s">
        <v>131</v>
      </c>
      <c r="F2" s="895" t="s">
        <v>131</v>
      </c>
      <c r="G2" s="893" t="s">
        <v>131</v>
      </c>
      <c r="H2" s="896"/>
    </row>
    <row r="3" spans="1:8" ht="63" customHeight="1">
      <c r="A3" s="761"/>
      <c r="B3" s="761" t="s">
        <v>91</v>
      </c>
      <c r="C3" s="89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894" t="s">
        <v>1819</v>
      </c>
      <c r="E3" s="89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895"/>
      <c r="G3" s="896"/>
      <c r="H3" s="761"/>
    </row>
    <row r="4" spans="1:8" ht="243" customHeight="1">
      <c r="A4" s="761" t="s">
        <v>1820</v>
      </c>
      <c r="B4" s="761" t="s">
        <v>92</v>
      </c>
      <c r="C4" s="894" t="str">
        <f>IF(TEMPLATE_SPHERE="HEAT",D4,IF(TEMPLATE_SPHERE="TKO",H4,E4))</f>
        <v>Форма 1. Информация об организации, осуществляющей водоотведение (общая информация)</v>
      </c>
      <c r="D4" s="893" t="s">
        <v>1821</v>
      </c>
      <c r="E4" s="894"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893"/>
      <c r="G4" s="893"/>
      <c r="H4" s="761" t="s">
        <v>1822</v>
      </c>
    </row>
    <row r="5" spans="1:8" ht="117" customHeight="1">
      <c r="A5" s="761" t="s">
        <v>1823</v>
      </c>
      <c r="B5" s="761" t="s">
        <v>75</v>
      </c>
      <c r="C5" s="89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761" t="s">
        <v>1824</v>
      </c>
      <c r="E5" s="764"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896"/>
      <c r="G5" s="896"/>
      <c r="H5" s="761" t="s">
        <v>1825</v>
      </c>
    </row>
    <row r="6" spans="1:8" ht="45" customHeight="1">
      <c r="A6" s="761" t="s">
        <v>1826</v>
      </c>
      <c r="B6" s="761" t="s">
        <v>76</v>
      </c>
      <c r="C6" s="894"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761" t="s">
        <v>1827</v>
      </c>
      <c r="E6" s="764"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761"/>
      <c r="G6" s="761"/>
      <c r="H6" s="896"/>
    </row>
    <row r="7" spans="1:8" ht="45" customHeight="1">
      <c r="A7" s="761" t="s">
        <v>1828</v>
      </c>
      <c r="B7" s="761" t="s">
        <v>93</v>
      </c>
      <c r="C7" s="89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61" t="s">
        <v>1829</v>
      </c>
      <c r="E7" s="761" t="s">
        <v>1830</v>
      </c>
      <c r="F7" s="896"/>
      <c r="G7" s="896"/>
      <c r="H7" s="896"/>
    </row>
    <row r="8" spans="1:8" ht="108" customHeight="1">
      <c r="A8" s="761" t="s">
        <v>1831</v>
      </c>
      <c r="B8" s="761" t="s">
        <v>77</v>
      </c>
      <c r="C8" s="89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61" t="s">
        <v>1832</v>
      </c>
      <c r="E8" s="761" t="s">
        <v>1833</v>
      </c>
      <c r="F8" s="896"/>
      <c r="G8" s="896"/>
      <c r="H8" s="896"/>
    </row>
    <row r="9" spans="1:8" ht="99" customHeight="1">
      <c r="A9" s="761" t="s">
        <v>1834</v>
      </c>
      <c r="B9" s="761"/>
      <c r="C9" s="761" t="s">
        <v>1835</v>
      </c>
      <c r="D9" s="761"/>
      <c r="E9" s="761"/>
      <c r="F9" s="896"/>
      <c r="G9" s="896"/>
      <c r="H9" s="896"/>
    </row>
    <row r="10" spans="1:8" ht="126" customHeight="1">
      <c r="A10" s="761" t="s">
        <v>1836</v>
      </c>
      <c r="B10" s="761"/>
      <c r="C10" s="761" t="s">
        <v>1837</v>
      </c>
      <c r="D10" s="761"/>
      <c r="E10" s="761"/>
      <c r="F10" s="896"/>
      <c r="G10" s="896"/>
      <c r="H10" s="896"/>
    </row>
    <row r="11" spans="1:8" ht="108" customHeight="1">
      <c r="A11" s="761" t="s">
        <v>1838</v>
      </c>
      <c r="B11" s="761"/>
      <c r="C11" s="761" t="s">
        <v>1839</v>
      </c>
      <c r="D11" s="761"/>
      <c r="E11" s="761"/>
      <c r="F11" s="896"/>
      <c r="G11" s="896"/>
      <c r="H11" s="896"/>
    </row>
    <row r="12" spans="1:8" ht="54" customHeight="1">
      <c r="A12" s="761" t="s">
        <v>1840</v>
      </c>
      <c r="B12" s="761"/>
      <c r="C12" s="761" t="s">
        <v>1841</v>
      </c>
      <c r="D12" s="761"/>
      <c r="E12" s="761"/>
      <c r="F12" s="896"/>
      <c r="G12" s="896"/>
      <c r="H12" s="896"/>
    </row>
    <row r="13" spans="1:8" ht="45" customHeight="1">
      <c r="A13" s="761" t="s">
        <v>1842</v>
      </c>
      <c r="B13" s="761"/>
      <c r="C13" s="761" t="s">
        <v>1843</v>
      </c>
      <c r="D13" s="761"/>
      <c r="E13" s="761"/>
      <c r="F13" s="896"/>
      <c r="G13" s="896"/>
      <c r="H13" s="896"/>
    </row>
    <row r="14" spans="1:8" ht="117" customHeight="1">
      <c r="A14" s="761" t="s">
        <v>1844</v>
      </c>
      <c r="B14" s="761"/>
      <c r="C14" s="761" t="s">
        <v>1845</v>
      </c>
      <c r="D14" s="761"/>
      <c r="E14" s="761"/>
      <c r="F14" s="896"/>
      <c r="G14" s="896"/>
      <c r="H14" s="896"/>
    </row>
    <row r="15" spans="1:8" ht="117" customHeight="1">
      <c r="A15" s="761" t="s">
        <v>1846</v>
      </c>
      <c r="B15" s="761"/>
      <c r="C15" s="761" t="s">
        <v>1847</v>
      </c>
      <c r="D15" s="761"/>
      <c r="E15" s="761"/>
      <c r="F15" s="896"/>
      <c r="G15" s="896"/>
      <c r="H15" s="896"/>
    </row>
    <row r="16" spans="1:8" ht="63" customHeight="1">
      <c r="A16" s="761" t="s">
        <v>1848</v>
      </c>
      <c r="B16" s="761"/>
      <c r="C16" s="761" t="s">
        <v>1849</v>
      </c>
      <c r="D16" s="761"/>
      <c r="E16" s="761"/>
      <c r="F16" s="896"/>
      <c r="G16" s="896"/>
      <c r="H16" s="896"/>
    </row>
    <row r="17" spans="1:8" ht="54" customHeight="1">
      <c r="A17" s="761" t="s">
        <v>1850</v>
      </c>
      <c r="B17" s="761"/>
      <c r="C17" s="894" t="s">
        <v>1851</v>
      </c>
      <c r="D17" s="761"/>
      <c r="E17" s="761"/>
      <c r="F17" s="896"/>
      <c r="G17" s="896"/>
      <c r="H17" s="896"/>
    </row>
    <row r="18" spans="1:8" ht="27" customHeight="1">
      <c r="A18" s="761" t="s">
        <v>1852</v>
      </c>
      <c r="B18" s="761"/>
      <c r="C18" s="894" t="s">
        <v>1853</v>
      </c>
      <c r="D18" s="761"/>
      <c r="E18" s="761"/>
      <c r="F18" s="896"/>
      <c r="G18" s="896"/>
      <c r="H18" s="896"/>
    </row>
    <row r="19" spans="1:8" ht="54" customHeight="1">
      <c r="A19" s="761" t="s">
        <v>1854</v>
      </c>
      <c r="B19" s="761"/>
      <c r="C19" s="894" t="s">
        <v>1855</v>
      </c>
      <c r="D19" s="761"/>
      <c r="E19" s="761"/>
      <c r="F19" s="896"/>
      <c r="G19" s="896"/>
      <c r="H19" s="896"/>
    </row>
    <row r="20" spans="1:8" ht="36" customHeight="1">
      <c r="A20" s="761" t="s">
        <v>1856</v>
      </c>
      <c r="B20" s="761"/>
      <c r="C20" s="894" t="s">
        <v>1857</v>
      </c>
      <c r="D20" s="761"/>
      <c r="E20" s="761"/>
      <c r="F20" s="896"/>
      <c r="G20" s="896"/>
      <c r="H20" s="896"/>
    </row>
    <row r="21" spans="1:8" ht="36" customHeight="1">
      <c r="A21" s="761" t="s">
        <v>1858</v>
      </c>
      <c r="B21" s="761"/>
      <c r="C21" s="894" t="s">
        <v>1859</v>
      </c>
      <c r="D21" s="761"/>
      <c r="E21" s="761"/>
      <c r="F21" s="896"/>
      <c r="G21" s="896"/>
      <c r="H21" s="896"/>
    </row>
    <row r="22" spans="1:8" ht="27" customHeight="1">
      <c r="A22" s="761" t="s">
        <v>1860</v>
      </c>
      <c r="B22" s="761"/>
      <c r="C22" s="894" t="s">
        <v>1861</v>
      </c>
      <c r="D22" s="761"/>
      <c r="E22" s="761"/>
      <c r="F22" s="896"/>
      <c r="G22" s="896"/>
      <c r="H22" s="896"/>
    </row>
    <row r="23" spans="1:8" ht="36" customHeight="1">
      <c r="A23" s="761" t="s">
        <v>1862</v>
      </c>
      <c r="B23" s="761"/>
      <c r="C23" s="894" t="s">
        <v>1863</v>
      </c>
      <c r="D23" s="761"/>
      <c r="E23" s="761"/>
      <c r="F23" s="896"/>
      <c r="G23" s="896"/>
      <c r="H23" s="896"/>
    </row>
    <row r="24" spans="1:8" ht="28.5" customHeight="1">
      <c r="A24" s="761" t="s">
        <v>1864</v>
      </c>
      <c r="B24" s="761"/>
      <c r="C24" s="894" t="s">
        <v>1865</v>
      </c>
      <c r="D24" s="761"/>
      <c r="E24" s="761"/>
      <c r="F24" s="896"/>
      <c r="G24" s="896"/>
      <c r="H24" s="896"/>
    </row>
    <row r="25" spans="1:8" ht="36" customHeight="1">
      <c r="A25" s="761" t="s">
        <v>1866</v>
      </c>
      <c r="B25" s="761"/>
      <c r="C25" s="894" t="s">
        <v>1867</v>
      </c>
      <c r="D25" s="761"/>
      <c r="E25" s="761"/>
      <c r="F25" s="896"/>
      <c r="G25" s="896"/>
      <c r="H25" s="896"/>
    </row>
    <row r="26" spans="1:8" ht="27" customHeight="1">
      <c r="A26" s="761" t="s">
        <v>1868</v>
      </c>
      <c r="B26" s="761"/>
      <c r="C26" s="894" t="s">
        <v>1869</v>
      </c>
      <c r="D26" s="761"/>
      <c r="E26" s="761"/>
      <c r="F26" s="896"/>
      <c r="G26" s="896"/>
      <c r="H26" s="896"/>
    </row>
    <row r="27" spans="1:8" ht="36" customHeight="1">
      <c r="A27" s="761" t="s">
        <v>1870</v>
      </c>
      <c r="B27" s="761"/>
      <c r="C27" s="894" t="s">
        <v>1871</v>
      </c>
      <c r="D27" s="761"/>
      <c r="E27" s="761"/>
      <c r="F27" s="896"/>
      <c r="G27" s="896"/>
      <c r="H27" s="896"/>
    </row>
    <row r="28" spans="1:8" ht="28.5" customHeight="1">
      <c r="A28" s="761" t="s">
        <v>1872</v>
      </c>
      <c r="B28" s="761"/>
      <c r="C28" s="894" t="s">
        <v>1873</v>
      </c>
      <c r="D28" s="761"/>
      <c r="E28" s="761"/>
      <c r="F28" s="896"/>
      <c r="G28" s="896"/>
      <c r="H28" s="896"/>
    </row>
    <row r="29" spans="1:8" ht="126" customHeight="1">
      <c r="A29" s="761" t="s">
        <v>1874</v>
      </c>
      <c r="B29" s="761" t="s">
        <v>1541</v>
      </c>
      <c r="C29" s="894"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761" t="s">
        <v>1875</v>
      </c>
      <c r="E29" s="764"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896"/>
      <c r="G29" s="896"/>
      <c r="H29" s="761" t="s">
        <v>1876</v>
      </c>
    </row>
    <row r="30" spans="1:8" ht="36" customHeight="1">
      <c r="A30" s="761" t="s">
        <v>1877</v>
      </c>
      <c r="B30" s="761"/>
      <c r="C30" s="89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761" t="s">
        <v>1878</v>
      </c>
      <c r="E30" s="764"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896"/>
      <c r="G30" s="896"/>
      <c r="H30" s="896"/>
    </row>
    <row r="31" spans="1:8" ht="54" customHeight="1">
      <c r="A31" s="761" t="s">
        <v>1879</v>
      </c>
      <c r="B31" s="761"/>
      <c r="C31" s="894" t="str">
        <f>IF(TEMPLATE_SPHERE="HEAT",D31,IF(TEMPLATE_SPHERE="TKO",H31,E31))</f>
        <v>Форма 1. Информация об организации, осуществляющей водоотведение (общая информация)</v>
      </c>
      <c r="D31" s="761" t="s">
        <v>1880</v>
      </c>
      <c r="E31" s="764"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896"/>
      <c r="G31" s="896"/>
      <c r="H31" s="896"/>
    </row>
    <row r="32" spans="1:8" ht="198" customHeight="1">
      <c r="A32" s="761" t="s">
        <v>1881</v>
      </c>
      <c r="B32" s="761"/>
      <c r="C32" s="894" t="str">
        <f>IF(TEMPLATE_SPHERE="HEAT",D32,IF(TEMPLATE_SPHERE="TKO",H32,E32))</f>
        <v>Форма 7. Информация об инвестиционных программах организации водоотведения и отчетах об их исполнении</v>
      </c>
      <c r="D32" s="761" t="s">
        <v>1882</v>
      </c>
      <c r="E32" s="764"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896"/>
      <c r="G32" s="896"/>
      <c r="H32" s="761" t="s">
        <v>1883</v>
      </c>
    </row>
    <row r="33" spans="1:8" ht="9" customHeight="1">
      <c r="A33" s="761"/>
      <c r="B33" s="761"/>
      <c r="C33" s="894"/>
      <c r="D33" s="761"/>
      <c r="E33" s="761"/>
      <c r="F33" s="896"/>
      <c r="G33" s="896"/>
      <c r="H33" s="896"/>
    </row>
    <row r="34" spans="1:8" ht="9" customHeight="1">
      <c r="A34" s="761"/>
      <c r="B34" s="761" t="s">
        <v>1477</v>
      </c>
      <c r="C34" s="894">
        <f>INDEX(TEMPLATE_NAME_FORM_LIST,B34,MATCH(TEMPLATE_SPHERE,TEMPLATE_SPHERE_LIST,0))</f>
        <v>0</v>
      </c>
      <c r="D34" s="761"/>
      <c r="E34" s="761"/>
      <c r="F34" s="896"/>
      <c r="G34" s="896"/>
      <c r="H34" s="89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1967"/>
    <col min="3" max="7" width="8" style="1970" customWidth="1"/>
    <col min="8" max="12" width="8.5703125" style="1970" customWidth="1"/>
    <col min="13" max="14" width="27.7109375" style="1970" customWidth="1"/>
    <col min="15" max="19" width="5.140625" style="1970" customWidth="1"/>
    <col min="20" max="24" width="27.7109375" style="1970" customWidth="1"/>
    <col min="25" max="25" width="1.85546875" style="1971" customWidth="1"/>
    <col min="26" max="26" width="27.7109375" style="1967" customWidth="1"/>
    <col min="27" max="27" width="27.7109375" style="1972" customWidth="1"/>
    <col min="28" max="29" width="27.7109375" style="1967" customWidth="1"/>
    <col min="30" max="30" width="3.85546875" style="1967" customWidth="1"/>
    <col min="31" max="34" width="9.140625" style="1967"/>
  </cols>
  <sheetData>
    <row r="1" spans="1:34" s="1969" customFormat="1" ht="18" customHeight="1">
      <c r="A1" s="813"/>
      <c r="B1" s="813"/>
      <c r="C1" s="813" t="s">
        <v>1884</v>
      </c>
      <c r="D1" s="813"/>
      <c r="E1" s="813"/>
      <c r="F1" s="813"/>
      <c r="G1" s="813"/>
      <c r="H1" s="813" t="s">
        <v>1885</v>
      </c>
      <c r="I1" s="813"/>
      <c r="J1" s="813"/>
      <c r="K1" s="813"/>
      <c r="L1" s="813"/>
      <c r="M1" s="813" t="s">
        <v>1886</v>
      </c>
      <c r="N1" s="813" t="s">
        <v>1887</v>
      </c>
      <c r="O1" s="2395" t="s">
        <v>1888</v>
      </c>
      <c r="P1" s="2395"/>
      <c r="Q1" s="2395"/>
      <c r="R1" s="2395"/>
      <c r="S1" s="2395"/>
      <c r="T1" s="2395" t="s">
        <v>1886</v>
      </c>
      <c r="U1" s="2395"/>
      <c r="V1" s="2395"/>
      <c r="W1" s="2395"/>
      <c r="X1" s="2395"/>
      <c r="Y1" s="909"/>
      <c r="Z1" s="2395" t="s">
        <v>1889</v>
      </c>
      <c r="AA1" s="2395"/>
      <c r="AB1" s="2395"/>
      <c r="AC1" s="2395"/>
      <c r="AD1" s="2395"/>
    </row>
    <row r="2" spans="1:34" ht="18" customHeight="1">
      <c r="A2" s="761"/>
      <c r="B2" s="761"/>
      <c r="C2" s="757" t="s">
        <v>684</v>
      </c>
      <c r="D2" s="757" t="s">
        <v>730</v>
      </c>
      <c r="E2" s="757" t="s">
        <v>782</v>
      </c>
      <c r="F2" s="757" t="s">
        <v>768</v>
      </c>
      <c r="G2" s="757" t="s">
        <v>1590</v>
      </c>
      <c r="H2" s="758"/>
      <c r="I2" s="758"/>
      <c r="J2" s="758"/>
      <c r="K2" s="758"/>
      <c r="L2" s="758"/>
      <c r="M2" s="758"/>
      <c r="N2" s="758"/>
      <c r="O2" s="757" t="s">
        <v>684</v>
      </c>
      <c r="P2" s="757" t="s">
        <v>730</v>
      </c>
      <c r="Q2" s="757" t="s">
        <v>768</v>
      </c>
      <c r="R2" s="757" t="s">
        <v>782</v>
      </c>
      <c r="S2" s="757" t="s">
        <v>1590</v>
      </c>
      <c r="T2" s="757" t="s">
        <v>684</v>
      </c>
      <c r="U2" s="757" t="s">
        <v>730</v>
      </c>
      <c r="V2" s="757" t="s">
        <v>768</v>
      </c>
      <c r="W2" s="757" t="s">
        <v>782</v>
      </c>
      <c r="X2" s="757" t="s">
        <v>1590</v>
      </c>
      <c r="Y2" s="757"/>
      <c r="Z2" s="757" t="s">
        <v>684</v>
      </c>
      <c r="AA2" s="765" t="s">
        <v>730</v>
      </c>
      <c r="AB2" s="757" t="s">
        <v>768</v>
      </c>
      <c r="AC2" s="757" t="s">
        <v>782</v>
      </c>
      <c r="AD2" s="757" t="s">
        <v>1590</v>
      </c>
    </row>
    <row r="3" spans="1:34" ht="162" customHeight="1">
      <c r="A3" s="760" t="s">
        <v>23</v>
      </c>
      <c r="B3" s="760"/>
      <c r="C3" s="2399" t="s">
        <v>1890</v>
      </c>
      <c r="D3" s="2400"/>
      <c r="E3" s="2400"/>
      <c r="F3" s="2401"/>
      <c r="G3" s="758"/>
      <c r="H3" s="758"/>
      <c r="I3" s="758"/>
      <c r="J3" s="758"/>
      <c r="K3" s="758"/>
      <c r="L3" s="758"/>
      <c r="M3" s="758"/>
      <c r="N3" s="759"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758"/>
      <c r="P3" s="758"/>
      <c r="Q3" s="758"/>
      <c r="R3" s="758"/>
      <c r="S3" s="758"/>
      <c r="T3" s="758"/>
      <c r="U3" s="758"/>
      <c r="V3" s="758"/>
      <c r="W3" s="758"/>
      <c r="X3" s="758"/>
      <c r="Y3" s="910"/>
      <c r="Z3" s="761" t="s">
        <v>1891</v>
      </c>
      <c r="AA3" s="758" t="s">
        <v>1892</v>
      </c>
      <c r="AB3" s="761" t="s">
        <v>1893</v>
      </c>
      <c r="AC3" s="761" t="s">
        <v>1894</v>
      </c>
      <c r="AD3" s="761"/>
      <c r="AG3" s="761"/>
      <c r="AH3" s="761"/>
    </row>
    <row r="4" spans="1:34" ht="9" customHeight="1">
      <c r="A4" s="760"/>
      <c r="B4" s="760"/>
      <c r="C4" s="758"/>
      <c r="D4" s="758"/>
      <c r="E4" s="758"/>
      <c r="F4" s="758"/>
      <c r="G4" s="758"/>
      <c r="H4" s="758"/>
      <c r="I4" s="758"/>
      <c r="J4" s="758"/>
      <c r="K4" s="758"/>
      <c r="L4" s="758"/>
      <c r="M4" s="758"/>
      <c r="N4" s="758"/>
      <c r="O4" s="758"/>
      <c r="P4" s="758"/>
      <c r="Q4" s="758"/>
      <c r="R4" s="758"/>
      <c r="S4" s="758"/>
      <c r="T4" s="758"/>
      <c r="U4" s="758"/>
      <c r="V4" s="758"/>
      <c r="W4" s="758"/>
      <c r="X4" s="758"/>
      <c r="Y4" s="910"/>
      <c r="Z4" s="761"/>
      <c r="AA4" s="764"/>
      <c r="AB4" s="761"/>
      <c r="AC4" s="761"/>
      <c r="AD4" s="761"/>
    </row>
    <row r="5" spans="1:34" ht="9" customHeight="1">
      <c r="A5" s="760"/>
      <c r="B5" s="760"/>
      <c r="C5" s="758"/>
      <c r="D5" s="758"/>
      <c r="E5" s="758"/>
      <c r="F5" s="758"/>
      <c r="G5" s="758"/>
      <c r="H5" s="758"/>
      <c r="I5" s="758"/>
      <c r="J5" s="758"/>
      <c r="K5" s="758"/>
      <c r="L5" s="758"/>
      <c r="M5" s="758"/>
      <c r="N5" s="758"/>
      <c r="O5" s="758"/>
      <c r="P5" s="758"/>
      <c r="Q5" s="758"/>
      <c r="R5" s="758"/>
      <c r="S5" s="758"/>
      <c r="T5" s="758"/>
      <c r="U5" s="758"/>
      <c r="V5" s="758"/>
      <c r="W5" s="758"/>
      <c r="X5" s="758"/>
      <c r="Y5" s="910"/>
      <c r="Z5" s="761"/>
      <c r="AA5" s="764"/>
      <c r="AB5" s="761"/>
      <c r="AC5" s="761"/>
      <c r="AD5" s="761"/>
    </row>
    <row r="6" spans="1:34" ht="9" customHeight="1">
      <c r="A6" s="760"/>
      <c r="B6" s="760"/>
      <c r="C6" s="758"/>
      <c r="D6" s="758"/>
      <c r="E6" s="758"/>
      <c r="F6" s="758"/>
      <c r="G6" s="758"/>
      <c r="H6" s="758"/>
      <c r="I6" s="758"/>
      <c r="J6" s="758"/>
      <c r="K6" s="758"/>
      <c r="L6" s="758"/>
      <c r="M6" s="758"/>
      <c r="N6" s="758"/>
      <c r="O6" s="758"/>
      <c r="P6" s="758"/>
      <c r="Q6" s="758"/>
      <c r="R6" s="758"/>
      <c r="S6" s="758"/>
      <c r="T6" s="758"/>
      <c r="U6" s="758"/>
      <c r="V6" s="758"/>
      <c r="W6" s="758"/>
      <c r="X6" s="758"/>
      <c r="Y6" s="910"/>
      <c r="Z6" s="761"/>
      <c r="AA6" s="764"/>
      <c r="AB6" s="761"/>
      <c r="AC6" s="761"/>
      <c r="AD6" s="761"/>
    </row>
    <row r="7" spans="1:34" ht="9" customHeight="1">
      <c r="A7" s="760"/>
      <c r="B7" s="760"/>
      <c r="C7" s="758"/>
      <c r="D7" s="758"/>
      <c r="E7" s="758"/>
      <c r="F7" s="758"/>
      <c r="G7" s="758"/>
      <c r="H7" s="758"/>
      <c r="I7" s="758"/>
      <c r="J7" s="758"/>
      <c r="K7" s="758"/>
      <c r="L7" s="758"/>
      <c r="M7" s="758"/>
      <c r="N7" s="758"/>
      <c r="O7" s="758"/>
      <c r="P7" s="758"/>
      <c r="Q7" s="758"/>
      <c r="R7" s="758"/>
      <c r="S7" s="758"/>
      <c r="T7" s="758"/>
      <c r="U7" s="758"/>
      <c r="V7" s="758"/>
      <c r="W7" s="758"/>
      <c r="X7" s="758"/>
      <c r="Y7" s="910"/>
      <c r="Z7" s="761"/>
      <c r="AA7" s="764"/>
      <c r="AB7" s="761"/>
      <c r="AC7" s="761"/>
      <c r="AD7" s="761"/>
    </row>
    <row r="8" spans="1:34" ht="9" customHeight="1">
      <c r="A8" s="760"/>
      <c r="B8" s="760"/>
      <c r="C8" s="758"/>
      <c r="D8" s="758"/>
      <c r="E8" s="758"/>
      <c r="F8" s="758"/>
      <c r="G8" s="758"/>
      <c r="H8" s="758"/>
      <c r="I8" s="758"/>
      <c r="J8" s="758"/>
      <c r="K8" s="758"/>
      <c r="L8" s="758"/>
      <c r="M8" s="758"/>
      <c r="N8" s="758"/>
      <c r="O8" s="758"/>
      <c r="P8" s="758"/>
      <c r="Q8" s="758"/>
      <c r="R8" s="758"/>
      <c r="S8" s="758"/>
      <c r="T8" s="758"/>
      <c r="U8" s="758"/>
      <c r="V8" s="758"/>
      <c r="W8" s="758"/>
      <c r="X8" s="758"/>
      <c r="Y8" s="910"/>
      <c r="Z8" s="761"/>
      <c r="AA8" s="764"/>
      <c r="AB8" s="761"/>
      <c r="AC8" s="761"/>
      <c r="AD8" s="761"/>
    </row>
    <row r="9" spans="1:34" ht="9" customHeight="1">
      <c r="A9" s="760"/>
      <c r="B9" s="760"/>
      <c r="C9" s="758"/>
      <c r="D9" s="758"/>
      <c r="E9" s="758"/>
      <c r="F9" s="758"/>
      <c r="G9" s="758"/>
      <c r="H9" s="758"/>
      <c r="I9" s="758"/>
      <c r="J9" s="758"/>
      <c r="K9" s="758"/>
      <c r="L9" s="758"/>
      <c r="M9" s="758"/>
      <c r="N9" s="758"/>
      <c r="O9" s="758"/>
      <c r="P9" s="758"/>
      <c r="Q9" s="758"/>
      <c r="R9" s="758"/>
      <c r="S9" s="758"/>
      <c r="T9" s="758"/>
      <c r="U9" s="758"/>
      <c r="V9" s="758"/>
      <c r="W9" s="758"/>
      <c r="X9" s="758"/>
      <c r="Y9" s="910"/>
      <c r="Z9" s="761"/>
      <c r="AA9" s="764"/>
      <c r="AB9" s="761"/>
      <c r="AC9" s="761"/>
      <c r="AD9" s="761"/>
    </row>
    <row r="10" spans="1:34" ht="9" customHeight="1">
      <c r="A10" s="814"/>
      <c r="B10" s="814"/>
      <c r="C10" s="814"/>
      <c r="D10" s="814"/>
      <c r="E10" s="814"/>
      <c r="F10" s="814"/>
      <c r="G10" s="814"/>
      <c r="H10" s="814"/>
      <c r="I10" s="814"/>
      <c r="J10" s="814"/>
      <c r="K10" s="814"/>
      <c r="L10" s="814"/>
      <c r="M10" s="814"/>
      <c r="N10" s="814"/>
      <c r="O10" s="814"/>
      <c r="P10" s="814"/>
      <c r="Q10" s="814"/>
      <c r="R10" s="814"/>
      <c r="S10" s="814"/>
      <c r="T10" s="814"/>
      <c r="U10" s="814"/>
      <c r="V10" s="814"/>
      <c r="W10" s="814"/>
      <c r="X10" s="814"/>
      <c r="Y10" s="814"/>
      <c r="Z10" s="814"/>
      <c r="AA10" s="814"/>
      <c r="AB10" s="814"/>
      <c r="AC10" s="814"/>
      <c r="AD10" s="814"/>
    </row>
    <row r="11" spans="1:34" ht="45" customHeight="1">
      <c r="A11" s="2396" t="s">
        <v>29</v>
      </c>
      <c r="B11" s="814">
        <v>1</v>
      </c>
      <c r="C11" s="2402" t="s">
        <v>1528</v>
      </c>
      <c r="D11" s="2402" t="s">
        <v>1524</v>
      </c>
      <c r="E11" s="2402" t="s">
        <v>1621</v>
      </c>
      <c r="F11" s="2402" t="s">
        <v>1895</v>
      </c>
      <c r="G11" s="2402"/>
      <c r="H11" s="813" t="s">
        <v>1896</v>
      </c>
      <c r="I11" s="813"/>
      <c r="J11" s="813"/>
      <c r="K11" s="813"/>
      <c r="L11" s="813"/>
      <c r="M11" s="759" t="str">
        <f>IF(TEMPLATE_SPHERE="HEAT",T11,U11)</f>
        <v xml:space="preserve">Количество поданных заявлений </v>
      </c>
      <c r="N11" s="759"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758"/>
      <c r="P11" s="758"/>
      <c r="Q11" s="758"/>
      <c r="R11" s="758"/>
      <c r="S11" s="758"/>
      <c r="T11" s="758" t="s">
        <v>1897</v>
      </c>
      <c r="U11" s="758" t="s">
        <v>1898</v>
      </c>
      <c r="V11" s="758"/>
      <c r="W11" s="758"/>
      <c r="X11" s="758"/>
      <c r="Y11" s="910"/>
      <c r="Z11" s="761" t="s">
        <v>1899</v>
      </c>
      <c r="AA11" s="764"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761"/>
      <c r="AC11" s="761"/>
      <c r="AD11" s="761"/>
    </row>
    <row r="12" spans="1:34" ht="45" customHeight="1">
      <c r="A12" s="2396"/>
      <c r="B12" s="814">
        <v>2</v>
      </c>
      <c r="C12" s="2403"/>
      <c r="D12" s="2403"/>
      <c r="E12" s="2403"/>
      <c r="F12" s="2403"/>
      <c r="G12" s="2403"/>
      <c r="H12" s="813" t="s">
        <v>1900</v>
      </c>
      <c r="I12" s="813"/>
      <c r="J12" s="813"/>
      <c r="K12" s="813"/>
      <c r="L12" s="813"/>
      <c r="M12" s="759" t="str">
        <f>IF(TEMPLATE_SPHERE="HEAT",T12,U12)</f>
        <v xml:space="preserve">Количество исполненных заявлений </v>
      </c>
      <c r="N12" s="759"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758"/>
      <c r="P12" s="758"/>
      <c r="Q12" s="758"/>
      <c r="R12" s="758"/>
      <c r="S12" s="758"/>
      <c r="T12" s="758" t="s">
        <v>1901</v>
      </c>
      <c r="U12" s="758" t="s">
        <v>1902</v>
      </c>
      <c r="V12" s="758"/>
      <c r="W12" s="758"/>
      <c r="X12" s="758"/>
      <c r="Y12" s="910"/>
      <c r="Z12" s="761" t="s">
        <v>1903</v>
      </c>
      <c r="AA12" s="764"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761"/>
      <c r="AC12" s="761"/>
      <c r="AD12" s="761"/>
    </row>
    <row r="13" spans="1:34" ht="72" customHeight="1">
      <c r="A13" s="2396"/>
      <c r="B13" s="814">
        <v>3</v>
      </c>
      <c r="C13" s="2403"/>
      <c r="D13" s="2403"/>
      <c r="E13" s="2403"/>
      <c r="F13" s="2403"/>
      <c r="G13" s="2403"/>
      <c r="H13" s="2395" t="s">
        <v>1904</v>
      </c>
      <c r="I13" s="813"/>
      <c r="J13" s="813"/>
      <c r="K13" s="813"/>
      <c r="L13" s="813"/>
      <c r="M13" s="759" t="str">
        <f>IF(TEMPLATE_SPHERE="HEAT",T13,U13)</f>
        <v>Количество заявлений о заключении договоров о подключении (технологическом присоединении)</v>
      </c>
      <c r="N13" s="759" t="str">
        <f t="shared" si="0"/>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758"/>
      <c r="P13" s="759"/>
      <c r="Q13" s="759"/>
      <c r="R13" s="759"/>
      <c r="S13" s="758"/>
      <c r="T13" s="758" t="s">
        <v>1905</v>
      </c>
      <c r="U13" s="759" t="s">
        <v>1906</v>
      </c>
      <c r="V13" s="759"/>
      <c r="W13" s="759"/>
      <c r="X13" s="758"/>
      <c r="Y13" s="910"/>
      <c r="Z13" s="761" t="s">
        <v>1907</v>
      </c>
      <c r="AA13" s="764"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761"/>
      <c r="AC13" s="761"/>
      <c r="AD13" s="761"/>
    </row>
    <row r="14" spans="1:34" ht="45" customHeight="1">
      <c r="A14" s="2396"/>
      <c r="B14" s="814">
        <v>4</v>
      </c>
      <c r="C14" s="2403"/>
      <c r="D14" s="2403"/>
      <c r="E14" s="2403"/>
      <c r="F14" s="2403"/>
      <c r="G14" s="2403"/>
      <c r="H14" s="2395"/>
      <c r="I14" s="816"/>
      <c r="J14" s="816"/>
      <c r="K14" s="816"/>
      <c r="L14" s="816"/>
      <c r="M14" s="762" t="str">
        <f>IF(TEMPLATE_SPHERE="HEAT",T14,U14)</f>
        <v>Причины отказа в заключении договора о подключении (технологическом присоединении) к централизованной системе водоотведения</v>
      </c>
      <c r="N14" s="759"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58"/>
      <c r="P14" s="759"/>
      <c r="Q14" s="759"/>
      <c r="R14" s="759"/>
      <c r="S14" s="758"/>
      <c r="T14" s="758" t="s">
        <v>1908</v>
      </c>
      <c r="U14" s="759"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759"/>
      <c r="W14" s="759"/>
      <c r="X14" s="758"/>
      <c r="Y14" s="910"/>
      <c r="Z14" s="761" t="s">
        <v>1909</v>
      </c>
      <c r="AA14" s="764" t="s">
        <v>1909</v>
      </c>
      <c r="AB14" s="761"/>
      <c r="AC14" s="761"/>
      <c r="AD14" s="761"/>
    </row>
    <row r="15" spans="1:34" ht="108" customHeight="1">
      <c r="A15" s="2396"/>
      <c r="B15" s="814">
        <v>5</v>
      </c>
      <c r="C15" s="2403"/>
      <c r="D15" s="2403"/>
      <c r="E15" s="2403"/>
      <c r="F15" s="2403"/>
      <c r="G15" s="2403"/>
      <c r="H15" s="2397" t="s">
        <v>1910</v>
      </c>
      <c r="I15" s="815"/>
      <c r="J15" s="815"/>
      <c r="K15" s="815"/>
      <c r="L15" s="815"/>
      <c r="M15" s="764"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763" t="str">
        <f t="shared" si="0"/>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758"/>
      <c r="P15" s="759"/>
      <c r="Q15" s="759"/>
      <c r="R15" s="759"/>
      <c r="S15" s="758"/>
      <c r="T15" s="758" t="s">
        <v>1911</v>
      </c>
      <c r="U15" s="759"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759"/>
      <c r="W15" s="759"/>
      <c r="X15" s="758"/>
      <c r="Y15" s="910"/>
      <c r="Z15" s="761" t="s">
        <v>1912</v>
      </c>
      <c r="AA15" s="764"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761"/>
      <c r="AC15" s="761"/>
      <c r="AD15" s="761"/>
    </row>
    <row r="16" spans="1:34" ht="108" customHeight="1">
      <c r="A16" s="814"/>
      <c r="B16" s="814">
        <v>6</v>
      </c>
      <c r="C16" s="2404"/>
      <c r="D16" s="2404"/>
      <c r="E16" s="2404"/>
      <c r="F16" s="2404"/>
      <c r="G16" s="2404"/>
      <c r="H16" s="2398"/>
      <c r="I16" s="873"/>
      <c r="J16" s="873"/>
      <c r="K16" s="873"/>
      <c r="L16" s="873"/>
      <c r="M16" s="807"/>
      <c r="N16" s="763" t="str">
        <f t="shared" si="0"/>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758"/>
      <c r="P16" s="759"/>
      <c r="Q16" s="759"/>
      <c r="R16" s="759"/>
      <c r="S16" s="758"/>
      <c r="T16" s="758"/>
      <c r="U16" s="759"/>
      <c r="V16" s="759"/>
      <c r="W16" s="759"/>
      <c r="X16" s="758"/>
      <c r="Y16" s="910"/>
      <c r="Z16" s="761" t="s">
        <v>1912</v>
      </c>
      <c r="AA16" s="764"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761"/>
      <c r="AC16" s="761"/>
      <c r="AD16" s="761"/>
    </row>
    <row r="17" spans="1:30" ht="9" customHeight="1">
      <c r="A17" s="814"/>
      <c r="B17" s="814"/>
      <c r="C17" s="814">
        <v>22</v>
      </c>
      <c r="D17" s="814">
        <v>21</v>
      </c>
      <c r="E17" s="814">
        <v>42</v>
      </c>
      <c r="F17" s="814">
        <v>63</v>
      </c>
      <c r="G17" s="814"/>
      <c r="H17" s="814"/>
      <c r="I17" s="814"/>
      <c r="J17" s="814"/>
      <c r="K17" s="814"/>
      <c r="L17" s="814"/>
      <c r="M17" s="814"/>
      <c r="N17" s="814"/>
      <c r="O17" s="814"/>
      <c r="P17" s="814"/>
      <c r="Q17" s="814"/>
      <c r="R17" s="814"/>
      <c r="S17" s="814"/>
      <c r="T17" s="814"/>
      <c r="U17" s="814"/>
      <c r="V17" s="814"/>
      <c r="W17" s="814"/>
      <c r="X17" s="814"/>
      <c r="Y17" s="814"/>
      <c r="Z17" s="814"/>
      <c r="AA17" s="814"/>
      <c r="AB17" s="814"/>
      <c r="AC17" s="814"/>
      <c r="AD17" s="814"/>
    </row>
    <row r="18" spans="1:30" ht="27" customHeight="1">
      <c r="A18" s="760" t="s">
        <v>1624</v>
      </c>
      <c r="B18" s="814">
        <v>1</v>
      </c>
      <c r="C18" s="758" t="s">
        <v>1896</v>
      </c>
      <c r="D18" s="878" t="s">
        <v>1896</v>
      </c>
      <c r="E18" s="758" t="s">
        <v>1896</v>
      </c>
      <c r="F18" s="758" t="s">
        <v>1896</v>
      </c>
      <c r="G18" s="758"/>
      <c r="H18" s="911"/>
      <c r="I18" s="914">
        <f t="shared" ref="I18:I49" si="1">INDEX(TEMPLATE_NUMBER_POINT_FHD,B18,MATCH(TEMPLATE_SPHERE,TEMPLATE_SPHERE_LIST_FOR_NOTE,0))</f>
        <v>1</v>
      </c>
      <c r="J18" s="914" t="str">
        <f t="shared" ref="J18:J49" si="2">INDEX(TEMPLATE_DATA_POINT_FHD,B18,MATCH(TEMPLATE_SPHERE,TEMPLATE_SPHERE_LIST_FOR_NOTE,0))</f>
        <v>Выручка от регулируемых видов деятельности в сфере водоотведения</v>
      </c>
      <c r="K18" s="914" t="str">
        <f t="shared" ref="K18:K49" si="3">INDEX(TEMPLATE_NOTE_POINT_FHD,B18,MATCH(TEMPLATE_SPHERE,TEMPLATE_SPHERE_LIST_FOR_NOTE,0))</f>
        <v>Указывается выручка с распределением по видам деятельности.</v>
      </c>
      <c r="L18" s="759">
        <f t="shared" ref="L18:L49" si="4">IF(I18=0,"",I18)</f>
        <v>1</v>
      </c>
      <c r="M18" s="759" t="str">
        <f t="shared" ref="M18:M49" si="5">IF(J18=0,"",J18)</f>
        <v>Выручка от регулируемых видов деятельности в сфере водоотведения</v>
      </c>
      <c r="N18" s="759" t="str">
        <f t="shared" ref="N18:N49" si="6">IF(K18=0,"",K18)</f>
        <v>Указывается выручка с распределением по видам деятельности.</v>
      </c>
      <c r="O18" s="868">
        <v>1</v>
      </c>
      <c r="P18" s="868">
        <v>1</v>
      </c>
      <c r="Q18" s="868">
        <v>1</v>
      </c>
      <c r="R18" s="868">
        <v>1</v>
      </c>
      <c r="S18" s="868"/>
      <c r="T18" s="875" t="s">
        <v>1913</v>
      </c>
      <c r="U18" s="761" t="s">
        <v>1914</v>
      </c>
      <c r="V18" s="761" t="s">
        <v>1915</v>
      </c>
      <c r="W18" s="761" t="s">
        <v>1916</v>
      </c>
      <c r="X18" s="758"/>
      <c r="Y18" s="910"/>
      <c r="Z18" s="761" t="s">
        <v>1917</v>
      </c>
      <c r="AA18" s="764" t="s">
        <v>1918</v>
      </c>
      <c r="AB18" s="764" t="s">
        <v>1918</v>
      </c>
      <c r="AC18" s="764" t="s">
        <v>1918</v>
      </c>
      <c r="AD18" s="761"/>
    </row>
    <row r="19" spans="1:30" ht="36" customHeight="1">
      <c r="A19" s="760"/>
      <c r="B19" s="814">
        <v>2</v>
      </c>
      <c r="C19" s="758" t="s">
        <v>1900</v>
      </c>
      <c r="D19" s="878" t="s">
        <v>1900</v>
      </c>
      <c r="E19" s="758" t="s">
        <v>1900</v>
      </c>
      <c r="F19" s="758" t="s">
        <v>1900</v>
      </c>
      <c r="G19" s="758"/>
      <c r="H19" s="911"/>
      <c r="I19" s="914">
        <f t="shared" si="1"/>
        <v>2</v>
      </c>
      <c r="J19" s="914" t="str">
        <f t="shared" si="2"/>
        <v>Себестоимость производимых товаров (оказываемых услуг) по регулируемым видам деятельности в сфере водоотведения, включая:</v>
      </c>
      <c r="K19" s="914" t="str">
        <f t="shared" si="3"/>
        <v>Указывается суммарная себестоимость производимых товаров.</v>
      </c>
      <c r="L19" s="759">
        <f t="shared" si="4"/>
        <v>2</v>
      </c>
      <c r="M19" s="759" t="str">
        <f t="shared" si="5"/>
        <v>Себестоимость производимых товаров (оказываемых услуг) по регулируемым видам деятельности в сфере водоотведения, включая:</v>
      </c>
      <c r="N19" s="759" t="str">
        <f t="shared" si="6"/>
        <v>Указывается суммарная себестоимость производимых товаров.</v>
      </c>
      <c r="O19" s="868">
        <v>2</v>
      </c>
      <c r="P19" s="868">
        <v>2</v>
      </c>
      <c r="Q19" s="868">
        <v>2</v>
      </c>
      <c r="R19" s="868">
        <v>2</v>
      </c>
      <c r="S19" s="868"/>
      <c r="T19" s="875" t="s">
        <v>1919</v>
      </c>
      <c r="U19" s="761" t="s">
        <v>1920</v>
      </c>
      <c r="V19" s="761" t="s">
        <v>1921</v>
      </c>
      <c r="W19" s="761" t="s">
        <v>1922</v>
      </c>
      <c r="X19" s="758"/>
      <c r="Y19" s="910"/>
      <c r="Z19" s="761" t="s">
        <v>1923</v>
      </c>
      <c r="AA19" s="764" t="s">
        <v>1923</v>
      </c>
      <c r="AB19" s="764" t="s">
        <v>1923</v>
      </c>
      <c r="AC19" s="764" t="s">
        <v>1923</v>
      </c>
      <c r="AD19" s="761"/>
    </row>
    <row r="20" spans="1:30" ht="27" customHeight="1">
      <c r="A20" s="760"/>
      <c r="B20" s="814">
        <v>3</v>
      </c>
      <c r="C20" s="758">
        <v>1</v>
      </c>
      <c r="D20" s="878"/>
      <c r="E20" s="758"/>
      <c r="F20" s="758"/>
      <c r="G20" s="758"/>
      <c r="H20" s="911"/>
      <c r="I20" s="914" t="str">
        <f t="shared" si="1"/>
        <v>2.1</v>
      </c>
      <c r="J20" s="914" t="str">
        <f t="shared" si="2"/>
        <v>Расходы на оплату услуг по приему, транспортировке и очистке сточных вод другими организациями</v>
      </c>
      <c r="K20" s="914">
        <f t="shared" si="3"/>
        <v>0</v>
      </c>
      <c r="L20" s="759" t="str">
        <f t="shared" si="4"/>
        <v>2.1</v>
      </c>
      <c r="M20" s="759" t="str">
        <f t="shared" si="5"/>
        <v>Расходы на оплату услуг по приему, транспортировке и очистке сточных вод другими организациями</v>
      </c>
      <c r="N20" s="759" t="str">
        <f t="shared" si="6"/>
        <v/>
      </c>
      <c r="O20" s="868" t="s">
        <v>584</v>
      </c>
      <c r="P20" s="868" t="s">
        <v>584</v>
      </c>
      <c r="Q20" s="868" t="s">
        <v>584</v>
      </c>
      <c r="R20" s="868" t="s">
        <v>584</v>
      </c>
      <c r="S20" s="868"/>
      <c r="T20" s="875" t="s">
        <v>1924</v>
      </c>
      <c r="U20" s="761" t="s">
        <v>1925</v>
      </c>
      <c r="V20" s="761" t="s">
        <v>1926</v>
      </c>
      <c r="W20" s="761" t="s">
        <v>1927</v>
      </c>
      <c r="X20" s="758"/>
      <c r="Y20" s="910"/>
      <c r="Z20" s="761"/>
      <c r="AA20" s="764"/>
      <c r="AB20" s="761"/>
      <c r="AC20" s="761"/>
      <c r="AD20" s="761"/>
    </row>
    <row r="21" spans="1:30" ht="36" customHeight="1">
      <c r="A21" s="760"/>
      <c r="B21" s="814">
        <v>4</v>
      </c>
      <c r="C21" s="758">
        <v>2</v>
      </c>
      <c r="D21" s="878"/>
      <c r="E21" s="758"/>
      <c r="F21" s="758"/>
      <c r="G21" s="758"/>
      <c r="H21" s="911"/>
      <c r="I21" s="914">
        <f t="shared" si="1"/>
        <v>0</v>
      </c>
      <c r="J21" s="914">
        <f t="shared" si="2"/>
        <v>0</v>
      </c>
      <c r="K21" s="914">
        <f t="shared" si="3"/>
        <v>0</v>
      </c>
      <c r="L21" s="759" t="str">
        <f t="shared" si="4"/>
        <v/>
      </c>
      <c r="M21" s="759" t="str">
        <f t="shared" si="5"/>
        <v/>
      </c>
      <c r="N21" s="759" t="str">
        <f t="shared" si="6"/>
        <v/>
      </c>
      <c r="O21" s="868" t="s">
        <v>275</v>
      </c>
      <c r="P21" s="868"/>
      <c r="Q21" s="868"/>
      <c r="R21" s="868"/>
      <c r="S21" s="868"/>
      <c r="T21" s="875" t="s">
        <v>1928</v>
      </c>
      <c r="U21" s="761"/>
      <c r="V21" s="761"/>
      <c r="W21" s="761"/>
      <c r="X21" s="758"/>
      <c r="Y21" s="910"/>
      <c r="Z21" s="761" t="s">
        <v>1929</v>
      </c>
      <c r="AA21" s="764"/>
      <c r="AB21" s="761"/>
      <c r="AC21" s="761"/>
      <c r="AD21" s="761"/>
    </row>
    <row r="22" spans="1:30" ht="36" customHeight="1">
      <c r="A22" s="760"/>
      <c r="B22" s="814">
        <v>5</v>
      </c>
      <c r="C22" s="758">
        <v>3</v>
      </c>
      <c r="D22" s="878"/>
      <c r="E22" s="758"/>
      <c r="F22" s="758"/>
      <c r="G22" s="806"/>
      <c r="H22" s="869"/>
      <c r="I22" s="914">
        <f t="shared" si="1"/>
        <v>0</v>
      </c>
      <c r="J22" s="914">
        <f t="shared" si="2"/>
        <v>0</v>
      </c>
      <c r="K22" s="914">
        <f t="shared" si="3"/>
        <v>0</v>
      </c>
      <c r="L22" s="759" t="str">
        <f t="shared" si="4"/>
        <v/>
      </c>
      <c r="M22" s="759" t="str">
        <f t="shared" si="5"/>
        <v/>
      </c>
      <c r="N22" s="759" t="str">
        <f t="shared" si="6"/>
        <v/>
      </c>
      <c r="O22" s="868"/>
      <c r="P22" s="868"/>
      <c r="Q22" s="868" t="s">
        <v>275</v>
      </c>
      <c r="R22" s="868"/>
      <c r="S22" s="868"/>
      <c r="T22" s="875"/>
      <c r="U22" s="761"/>
      <c r="V22" s="761" t="s">
        <v>1930</v>
      </c>
      <c r="W22" s="761"/>
      <c r="X22" s="758"/>
      <c r="Y22" s="910"/>
      <c r="Z22" s="761"/>
      <c r="AA22" s="764"/>
      <c r="AB22" s="761"/>
      <c r="AC22" s="761"/>
      <c r="AD22" s="761"/>
    </row>
    <row r="23" spans="1:30" ht="27" customHeight="1">
      <c r="A23" s="760"/>
      <c r="B23" s="814">
        <v>6</v>
      </c>
      <c r="C23" s="758">
        <v>4</v>
      </c>
      <c r="D23" s="878"/>
      <c r="E23" s="758"/>
      <c r="F23" s="758"/>
      <c r="G23" s="806"/>
      <c r="H23" s="869"/>
      <c r="I23" s="914">
        <f t="shared" si="1"/>
        <v>0</v>
      </c>
      <c r="J23" s="914">
        <f t="shared" si="2"/>
        <v>0</v>
      </c>
      <c r="K23" s="914">
        <f t="shared" si="3"/>
        <v>0</v>
      </c>
      <c r="L23" s="759" t="str">
        <f t="shared" si="4"/>
        <v/>
      </c>
      <c r="M23" s="759" t="str">
        <f t="shared" si="5"/>
        <v/>
      </c>
      <c r="N23" s="759" t="str">
        <f t="shared" si="6"/>
        <v/>
      </c>
      <c r="O23" s="868"/>
      <c r="P23" s="868"/>
      <c r="Q23" s="868" t="s">
        <v>278</v>
      </c>
      <c r="R23" s="868"/>
      <c r="S23" s="868"/>
      <c r="T23" s="875"/>
      <c r="U23" s="761"/>
      <c r="V23" s="761" t="s">
        <v>1931</v>
      </c>
      <c r="W23" s="761"/>
      <c r="X23" s="758"/>
      <c r="Y23" s="910"/>
      <c r="Z23" s="761"/>
      <c r="AA23" s="764"/>
      <c r="AB23" s="761"/>
      <c r="AC23" s="761"/>
      <c r="AD23" s="761"/>
    </row>
    <row r="24" spans="1:30" ht="36" customHeight="1">
      <c r="A24" s="760"/>
      <c r="B24" s="814">
        <v>7</v>
      </c>
      <c r="C24" s="758">
        <v>5</v>
      </c>
      <c r="D24" s="878"/>
      <c r="E24" s="758"/>
      <c r="F24" s="758"/>
      <c r="G24" s="806"/>
      <c r="H24" s="869"/>
      <c r="I24" s="914">
        <f t="shared" si="1"/>
        <v>0</v>
      </c>
      <c r="J24" s="914">
        <f t="shared" si="2"/>
        <v>0</v>
      </c>
      <c r="K24" s="914">
        <f t="shared" si="3"/>
        <v>0</v>
      </c>
      <c r="L24" s="759" t="str">
        <f t="shared" si="4"/>
        <v/>
      </c>
      <c r="M24" s="759" t="str">
        <f t="shared" si="5"/>
        <v/>
      </c>
      <c r="N24" s="759" t="str">
        <f t="shared" si="6"/>
        <v/>
      </c>
      <c r="O24" s="868"/>
      <c r="P24" s="868"/>
      <c r="Q24" s="868" t="s">
        <v>604</v>
      </c>
      <c r="R24" s="868"/>
      <c r="S24" s="868"/>
      <c r="T24" s="875"/>
      <c r="U24" s="761"/>
      <c r="V24" s="761" t="s">
        <v>1932</v>
      </c>
      <c r="W24" s="761"/>
      <c r="X24" s="758"/>
      <c r="Y24" s="910"/>
      <c r="Z24" s="761"/>
      <c r="AA24" s="764"/>
      <c r="AB24" s="761"/>
      <c r="AC24" s="761"/>
      <c r="AD24" s="761"/>
    </row>
    <row r="25" spans="1:30" ht="36" customHeight="1">
      <c r="A25" s="760"/>
      <c r="B25" s="814">
        <v>8</v>
      </c>
      <c r="C25" s="758">
        <v>6</v>
      </c>
      <c r="D25" s="878"/>
      <c r="E25" s="758"/>
      <c r="F25" s="758"/>
      <c r="G25" s="806"/>
      <c r="H25" s="869"/>
      <c r="I25" s="914" t="str">
        <f t="shared" si="1"/>
        <v>2.2</v>
      </c>
      <c r="J25" s="914" t="str">
        <f t="shared" si="2"/>
        <v>Расходы на приобретаемую электрическую энергию (мощность), используемую в технологическом процессе</v>
      </c>
      <c r="K25" s="914">
        <f t="shared" si="3"/>
        <v>0</v>
      </c>
      <c r="L25" s="759" t="str">
        <f t="shared" si="4"/>
        <v>2.2</v>
      </c>
      <c r="M25" s="759" t="str">
        <f t="shared" si="5"/>
        <v>Расходы на приобретаемую электрическую энергию (мощность), используемую в технологическом процессе</v>
      </c>
      <c r="N25" s="759" t="str">
        <f t="shared" si="6"/>
        <v/>
      </c>
      <c r="O25" s="868" t="s">
        <v>278</v>
      </c>
      <c r="P25" s="868" t="s">
        <v>275</v>
      </c>
      <c r="Q25" s="868" t="s">
        <v>611</v>
      </c>
      <c r="R25" s="868" t="s">
        <v>275</v>
      </c>
      <c r="S25" s="868"/>
      <c r="T25" s="875" t="s">
        <v>1933</v>
      </c>
      <c r="U25" s="761" t="s">
        <v>1933</v>
      </c>
      <c r="V25" s="761" t="s">
        <v>1933</v>
      </c>
      <c r="W25" s="761" t="s">
        <v>1933</v>
      </c>
      <c r="X25" s="758"/>
      <c r="Y25" s="910"/>
      <c r="Z25" s="761"/>
      <c r="AA25" s="764"/>
      <c r="AB25" s="761"/>
      <c r="AC25" s="761"/>
      <c r="AD25" s="761"/>
    </row>
    <row r="26" spans="1:30" ht="18" customHeight="1">
      <c r="A26" s="760"/>
      <c r="B26" s="814">
        <v>9</v>
      </c>
      <c r="C26" s="758" t="s">
        <v>780</v>
      </c>
      <c r="D26" s="878"/>
      <c r="E26" s="758"/>
      <c r="F26" s="758"/>
      <c r="G26" s="806"/>
      <c r="H26" s="869"/>
      <c r="I26" s="914" t="str">
        <f t="shared" si="1"/>
        <v>2.2.1</v>
      </c>
      <c r="J26" s="914" t="str">
        <f t="shared" si="2"/>
        <v>Средневзвешенная стоимость 1 кВт.ч (с учетом мощности)</v>
      </c>
      <c r="K26" s="914">
        <f t="shared" si="3"/>
        <v>0</v>
      </c>
      <c r="L26" s="759" t="str">
        <f t="shared" si="4"/>
        <v>2.2.1</v>
      </c>
      <c r="M26" s="759" t="str">
        <f t="shared" si="5"/>
        <v>Средневзвешенная стоимость 1 кВт.ч (с учетом мощности)</v>
      </c>
      <c r="N26" s="759" t="str">
        <f t="shared" si="6"/>
        <v/>
      </c>
      <c r="O26" s="868" t="s">
        <v>600</v>
      </c>
      <c r="P26" s="868" t="s">
        <v>594</v>
      </c>
      <c r="Q26" s="868" t="s">
        <v>1934</v>
      </c>
      <c r="R26" s="868" t="s">
        <v>594</v>
      </c>
      <c r="S26" s="868"/>
      <c r="T26" s="875" t="s">
        <v>1935</v>
      </c>
      <c r="U26" s="875" t="s">
        <v>1935</v>
      </c>
      <c r="V26" s="875" t="s">
        <v>1935</v>
      </c>
      <c r="W26" s="875" t="s">
        <v>1935</v>
      </c>
      <c r="X26" s="758"/>
      <c r="Y26" s="910"/>
      <c r="Z26" s="761"/>
      <c r="AA26" s="764"/>
      <c r="AB26" s="761"/>
      <c r="AC26" s="761"/>
      <c r="AD26" s="761"/>
    </row>
    <row r="27" spans="1:30" ht="18" customHeight="1">
      <c r="A27" s="760"/>
      <c r="B27" s="814">
        <v>10</v>
      </c>
      <c r="C27" s="758" t="s">
        <v>1936</v>
      </c>
      <c r="D27" s="878"/>
      <c r="E27" s="758"/>
      <c r="F27" s="758"/>
      <c r="G27" s="806"/>
      <c r="H27" s="869"/>
      <c r="I27" s="914" t="str">
        <f t="shared" si="1"/>
        <v>2.2.2</v>
      </c>
      <c r="J27" s="914" t="str">
        <f t="shared" si="2"/>
        <v>Объём приобретения электрической энергии</v>
      </c>
      <c r="K27" s="914">
        <f t="shared" si="3"/>
        <v>0</v>
      </c>
      <c r="L27" s="759" t="str">
        <f t="shared" si="4"/>
        <v>2.2.2</v>
      </c>
      <c r="M27" s="759" t="str">
        <f t="shared" si="5"/>
        <v>Объём приобретения электрической энергии</v>
      </c>
      <c r="N27" s="759" t="str">
        <f t="shared" si="6"/>
        <v/>
      </c>
      <c r="O27" s="868" t="s">
        <v>602</v>
      </c>
      <c r="P27" s="868" t="s">
        <v>596</v>
      </c>
      <c r="Q27" s="868" t="s">
        <v>1937</v>
      </c>
      <c r="R27" s="868" t="s">
        <v>596</v>
      </c>
      <c r="S27" s="868"/>
      <c r="T27" s="875" t="s">
        <v>1938</v>
      </c>
      <c r="U27" s="875" t="s">
        <v>1938</v>
      </c>
      <c r="V27" s="875" t="s">
        <v>1938</v>
      </c>
      <c r="W27" s="875" t="s">
        <v>1938</v>
      </c>
      <c r="X27" s="758"/>
      <c r="Y27" s="910"/>
      <c r="Z27" s="761"/>
      <c r="AA27" s="764"/>
      <c r="AB27" s="761"/>
      <c r="AC27" s="761"/>
      <c r="AD27" s="761"/>
    </row>
    <row r="28" spans="1:30" ht="27" customHeight="1">
      <c r="A28" s="760"/>
      <c r="B28" s="814">
        <v>11</v>
      </c>
      <c r="C28" s="758">
        <v>7</v>
      </c>
      <c r="D28" s="878"/>
      <c r="E28" s="758"/>
      <c r="F28" s="758"/>
      <c r="G28" s="806"/>
      <c r="H28" s="869"/>
      <c r="I28" s="914">
        <f t="shared" si="1"/>
        <v>0</v>
      </c>
      <c r="J28" s="914">
        <f t="shared" si="2"/>
        <v>0</v>
      </c>
      <c r="K28" s="914">
        <f t="shared" si="3"/>
        <v>0</v>
      </c>
      <c r="L28" s="759" t="str">
        <f t="shared" si="4"/>
        <v/>
      </c>
      <c r="M28" s="759" t="str">
        <f t="shared" si="5"/>
        <v/>
      </c>
      <c r="N28" s="759" t="str">
        <f t="shared" si="6"/>
        <v/>
      </c>
      <c r="O28" s="868" t="s">
        <v>604</v>
      </c>
      <c r="P28" s="868"/>
      <c r="Q28" s="868"/>
      <c r="R28" s="868"/>
      <c r="S28" s="868"/>
      <c r="T28" s="875" t="s">
        <v>1939</v>
      </c>
      <c r="U28" s="761"/>
      <c r="V28" s="761"/>
      <c r="W28" s="761"/>
      <c r="X28" s="758"/>
      <c r="Y28" s="910"/>
      <c r="Z28" s="761"/>
      <c r="AA28" s="764"/>
      <c r="AB28" s="761"/>
      <c r="AC28" s="761"/>
      <c r="AD28" s="761"/>
    </row>
    <row r="29" spans="1:30" ht="27" customHeight="1">
      <c r="A29" s="760"/>
      <c r="B29" s="814">
        <v>12</v>
      </c>
      <c r="C29" s="758">
        <v>8</v>
      </c>
      <c r="D29" s="878"/>
      <c r="E29" s="758"/>
      <c r="F29" s="758"/>
      <c r="G29" s="806"/>
      <c r="H29" s="869"/>
      <c r="I29" s="914" t="str">
        <f t="shared" si="1"/>
        <v>2.3</v>
      </c>
      <c r="J29" s="914" t="str">
        <f t="shared" si="2"/>
        <v>Расходы на химические реагенты, используемые в технологическом процессе</v>
      </c>
      <c r="K29" s="914">
        <f t="shared" si="3"/>
        <v>0</v>
      </c>
      <c r="L29" s="759" t="str">
        <f t="shared" si="4"/>
        <v>2.3</v>
      </c>
      <c r="M29" s="759" t="str">
        <f t="shared" si="5"/>
        <v>Расходы на химические реагенты, используемые в технологическом процессе</v>
      </c>
      <c r="N29" s="759" t="str">
        <f t="shared" si="6"/>
        <v/>
      </c>
      <c r="O29" s="868" t="s">
        <v>611</v>
      </c>
      <c r="P29" s="868" t="s">
        <v>278</v>
      </c>
      <c r="Q29" s="868"/>
      <c r="R29" s="868" t="s">
        <v>278</v>
      </c>
      <c r="S29" s="868"/>
      <c r="T29" s="875" t="s">
        <v>1940</v>
      </c>
      <c r="U29" s="761" t="s">
        <v>1940</v>
      </c>
      <c r="V29" s="761"/>
      <c r="W29" s="761" t="s">
        <v>1940</v>
      </c>
      <c r="X29" s="758"/>
      <c r="Y29" s="910"/>
      <c r="Z29" s="761"/>
      <c r="AA29" s="764"/>
      <c r="AB29" s="761"/>
      <c r="AC29" s="761"/>
      <c r="AD29" s="761"/>
    </row>
    <row r="30" spans="1:30" ht="54" customHeight="1">
      <c r="A30" s="760"/>
      <c r="B30" s="814">
        <v>13</v>
      </c>
      <c r="C30" s="758">
        <v>9</v>
      </c>
      <c r="D30" s="878"/>
      <c r="E30" s="758"/>
      <c r="F30" s="758"/>
      <c r="G30" s="806"/>
      <c r="H30" s="869"/>
      <c r="I30" s="914" t="str">
        <f t="shared" si="1"/>
        <v>2.4</v>
      </c>
      <c r="J30" s="91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14" t="str">
        <f t="shared" si="3"/>
        <v>Указывается общая сумма расходов на оплату труда и отчислений на социальные нужды основного производственного персонала.</v>
      </c>
      <c r="L30" s="759" t="str">
        <f t="shared" si="4"/>
        <v>2.4</v>
      </c>
      <c r="M30" s="759"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59" t="str">
        <f t="shared" si="6"/>
        <v>Указывается общая сумма расходов на оплату труда и отчислений на социальные нужды основного производственного персонала.</v>
      </c>
      <c r="O30" s="868" t="s">
        <v>613</v>
      </c>
      <c r="P30" s="868" t="s">
        <v>604</v>
      </c>
      <c r="Q30" s="868" t="s">
        <v>613</v>
      </c>
      <c r="R30" s="868" t="s">
        <v>604</v>
      </c>
      <c r="S30" s="868"/>
      <c r="T30" s="875" t="s">
        <v>1941</v>
      </c>
      <c r="U30" s="761" t="s">
        <v>1941</v>
      </c>
      <c r="V30" s="761" t="s">
        <v>1941</v>
      </c>
      <c r="W30" s="761" t="s">
        <v>1941</v>
      </c>
      <c r="X30" s="758"/>
      <c r="Y30" s="910"/>
      <c r="Z30" s="761"/>
      <c r="AA30" s="764" t="s">
        <v>1942</v>
      </c>
      <c r="AB30" s="764" t="s">
        <v>1942</v>
      </c>
      <c r="AC30" s="764" t="s">
        <v>1942</v>
      </c>
      <c r="AD30" s="761"/>
    </row>
    <row r="31" spans="1:30" ht="18" customHeight="1">
      <c r="A31" s="760"/>
      <c r="B31" s="814">
        <v>14</v>
      </c>
      <c r="C31" s="758" t="s">
        <v>1943</v>
      </c>
      <c r="D31" s="878"/>
      <c r="E31" s="758"/>
      <c r="F31" s="758"/>
      <c r="G31" s="806"/>
      <c r="H31" s="869"/>
      <c r="I31" s="914" t="str">
        <f t="shared" si="1"/>
        <v>2.4.1</v>
      </c>
      <c r="J31" s="914" t="str">
        <f t="shared" si="2"/>
        <v>Расходы на оплату труда основного производственного персонала</v>
      </c>
      <c r="K31" s="914">
        <f t="shared" si="3"/>
        <v>0</v>
      </c>
      <c r="L31" s="759" t="str">
        <f t="shared" si="4"/>
        <v>2.4.1</v>
      </c>
      <c r="M31" s="759" t="str">
        <f t="shared" si="5"/>
        <v>Расходы на оплату труда основного производственного персонала</v>
      </c>
      <c r="N31" s="759" t="str">
        <f t="shared" si="6"/>
        <v/>
      </c>
      <c r="O31" s="868" t="s">
        <v>1944</v>
      </c>
      <c r="P31" s="868" t="s">
        <v>607</v>
      </c>
      <c r="Q31" s="868" t="s">
        <v>1944</v>
      </c>
      <c r="R31" s="868" t="s">
        <v>607</v>
      </c>
      <c r="S31" s="868"/>
      <c r="T31" s="876" t="s">
        <v>1945</v>
      </c>
      <c r="U31" s="761" t="s">
        <v>1945</v>
      </c>
      <c r="V31" s="761" t="s">
        <v>1945</v>
      </c>
      <c r="W31" s="761" t="s">
        <v>1945</v>
      </c>
      <c r="X31" s="758"/>
      <c r="Y31" s="910"/>
      <c r="Z31" s="761"/>
      <c r="AA31" s="764"/>
      <c r="AB31" s="764"/>
      <c r="AC31" s="764"/>
      <c r="AD31" s="761"/>
    </row>
    <row r="32" spans="1:30" ht="36" customHeight="1">
      <c r="A32" s="760"/>
      <c r="B32" s="814">
        <v>15</v>
      </c>
      <c r="C32" s="758" t="s">
        <v>1946</v>
      </c>
      <c r="D32" s="878"/>
      <c r="E32" s="758"/>
      <c r="F32" s="758"/>
      <c r="G32" s="806"/>
      <c r="H32" s="869"/>
      <c r="I32" s="914" t="str">
        <f t="shared" si="1"/>
        <v>2.4.2</v>
      </c>
      <c r="J32" s="91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14">
        <f t="shared" si="3"/>
        <v>0</v>
      </c>
      <c r="L32" s="759" t="str">
        <f t="shared" si="4"/>
        <v>2.4.2</v>
      </c>
      <c r="M32" s="759" t="str">
        <f t="shared" si="5"/>
        <v>Страховые взносы на обязательное социальное страхование, выплачиваемые из фонда оплаты труда основного производственного персонала</v>
      </c>
      <c r="N32" s="759" t="str">
        <f t="shared" si="6"/>
        <v/>
      </c>
      <c r="O32" s="868" t="s">
        <v>1947</v>
      </c>
      <c r="P32" s="868" t="s">
        <v>609</v>
      </c>
      <c r="Q32" s="868" t="s">
        <v>1947</v>
      </c>
      <c r="R32" s="868" t="s">
        <v>609</v>
      </c>
      <c r="S32" s="868"/>
      <c r="T32" s="877" t="s">
        <v>1948</v>
      </c>
      <c r="U32" s="761" t="s">
        <v>1948</v>
      </c>
      <c r="V32" s="761" t="s">
        <v>1948</v>
      </c>
      <c r="W32" s="761" t="s">
        <v>1948</v>
      </c>
      <c r="X32" s="758"/>
      <c r="Y32" s="910"/>
      <c r="Z32" s="761"/>
      <c r="AA32" s="764"/>
      <c r="AB32" s="764"/>
      <c r="AC32" s="764"/>
      <c r="AD32" s="761"/>
    </row>
    <row r="33" spans="1:30" ht="45" customHeight="1">
      <c r="A33" s="760"/>
      <c r="B33" s="814">
        <v>16</v>
      </c>
      <c r="C33" s="758">
        <v>10</v>
      </c>
      <c r="D33" s="878"/>
      <c r="E33" s="758"/>
      <c r="F33" s="758"/>
      <c r="G33" s="806"/>
      <c r="H33" s="869"/>
      <c r="I33" s="914" t="str">
        <f t="shared" si="1"/>
        <v>2.5</v>
      </c>
      <c r="J33" s="91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14" t="str">
        <f t="shared" si="3"/>
        <v>Указывается общая сумма расходов на оплату труда и отчислений на социальные нужды административно-управленческого персонала.</v>
      </c>
      <c r="L33" s="759" t="str">
        <f t="shared" si="4"/>
        <v>2.5</v>
      </c>
      <c r="M33" s="759"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759" t="str">
        <f t="shared" si="6"/>
        <v>Указывается общая сумма расходов на оплату труда и отчислений на социальные нужды административно-управленческого персонала.</v>
      </c>
      <c r="O33" s="868" t="s">
        <v>615</v>
      </c>
      <c r="P33" s="868" t="s">
        <v>611</v>
      </c>
      <c r="Q33" s="868" t="s">
        <v>615</v>
      </c>
      <c r="R33" s="868" t="s">
        <v>611</v>
      </c>
      <c r="S33" s="868"/>
      <c r="T33" s="876" t="s">
        <v>1949</v>
      </c>
      <c r="U33" s="761" t="s">
        <v>1949</v>
      </c>
      <c r="V33" s="761" t="s">
        <v>1949</v>
      </c>
      <c r="W33" s="761" t="s">
        <v>1950</v>
      </c>
      <c r="X33" s="758"/>
      <c r="Y33" s="910"/>
      <c r="Z33" s="761"/>
      <c r="AA33" s="764" t="s">
        <v>1951</v>
      </c>
      <c r="AB33" s="764" t="s">
        <v>1951</v>
      </c>
      <c r="AC33" s="764" t="s">
        <v>1951</v>
      </c>
      <c r="AD33" s="761"/>
    </row>
    <row r="34" spans="1:30" ht="27" customHeight="1">
      <c r="A34" s="760"/>
      <c r="B34" s="814">
        <v>17</v>
      </c>
      <c r="C34" s="758" t="s">
        <v>1952</v>
      </c>
      <c r="D34" s="878"/>
      <c r="E34" s="758"/>
      <c r="F34" s="758"/>
      <c r="G34" s="806"/>
      <c r="H34" s="869"/>
      <c r="I34" s="914" t="str">
        <f t="shared" si="1"/>
        <v>2.5.1</v>
      </c>
      <c r="J34" s="914" t="str">
        <f t="shared" si="2"/>
        <v>Расходы на оплату труда административно-управленческого персонала, в том числе:</v>
      </c>
      <c r="K34" s="914">
        <f t="shared" si="3"/>
        <v>0</v>
      </c>
      <c r="L34" s="759" t="str">
        <f t="shared" si="4"/>
        <v>2.5.1</v>
      </c>
      <c r="M34" s="759" t="str">
        <f t="shared" si="5"/>
        <v>Расходы на оплату труда административно-управленческого персонала, в том числе:</v>
      </c>
      <c r="N34" s="759" t="str">
        <f t="shared" si="6"/>
        <v/>
      </c>
      <c r="O34" s="868" t="s">
        <v>1953</v>
      </c>
      <c r="P34" s="868" t="s">
        <v>1934</v>
      </c>
      <c r="Q34" s="868" t="s">
        <v>1953</v>
      </c>
      <c r="R34" s="868" t="s">
        <v>1934</v>
      </c>
      <c r="S34" s="868"/>
      <c r="T34" s="877" t="s">
        <v>1954</v>
      </c>
      <c r="U34" s="761" t="s">
        <v>1954</v>
      </c>
      <c r="V34" s="761" t="s">
        <v>1954</v>
      </c>
      <c r="W34" s="761" t="s">
        <v>1955</v>
      </c>
      <c r="X34" s="758"/>
      <c r="Y34" s="910"/>
      <c r="Z34" s="761"/>
      <c r="AA34" s="764"/>
      <c r="AB34" s="761"/>
      <c r="AC34" s="761"/>
      <c r="AD34" s="761"/>
    </row>
    <row r="35" spans="1:30" ht="45" customHeight="1">
      <c r="A35" s="760"/>
      <c r="B35" s="814">
        <v>18</v>
      </c>
      <c r="C35" s="758" t="s">
        <v>1956</v>
      </c>
      <c r="D35" s="878"/>
      <c r="E35" s="758"/>
      <c r="F35" s="758"/>
      <c r="G35" s="806"/>
      <c r="H35" s="869"/>
      <c r="I35" s="914" t="str">
        <f t="shared" si="1"/>
        <v>2.5.2</v>
      </c>
      <c r="J35" s="91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14">
        <f t="shared" si="3"/>
        <v>0</v>
      </c>
      <c r="L35" s="759" t="str">
        <f t="shared" si="4"/>
        <v>2.5.2</v>
      </c>
      <c r="M35" s="759"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59" t="str">
        <f t="shared" si="6"/>
        <v/>
      </c>
      <c r="O35" s="868" t="s">
        <v>1957</v>
      </c>
      <c r="P35" s="868" t="s">
        <v>1937</v>
      </c>
      <c r="Q35" s="868" t="s">
        <v>1957</v>
      </c>
      <c r="R35" s="868" t="s">
        <v>1937</v>
      </c>
      <c r="S35" s="868"/>
      <c r="T35" s="875" t="s">
        <v>1958</v>
      </c>
      <c r="U35" s="761" t="s">
        <v>1958</v>
      </c>
      <c r="V35" s="761" t="s">
        <v>1958</v>
      </c>
      <c r="W35" s="761" t="s">
        <v>1958</v>
      </c>
      <c r="X35" s="758"/>
      <c r="Y35" s="910"/>
      <c r="Z35" s="761"/>
      <c r="AA35" s="764"/>
      <c r="AB35" s="761"/>
      <c r="AC35" s="761"/>
      <c r="AD35" s="761"/>
    </row>
    <row r="36" spans="1:30" ht="18" customHeight="1">
      <c r="A36" s="760"/>
      <c r="B36" s="814">
        <v>19</v>
      </c>
      <c r="C36" s="758">
        <v>11</v>
      </c>
      <c r="D36" s="878"/>
      <c r="E36" s="758"/>
      <c r="F36" s="758"/>
      <c r="G36" s="806"/>
      <c r="H36" s="869"/>
      <c r="I36" s="914" t="str">
        <f t="shared" si="1"/>
        <v>2.6</v>
      </c>
      <c r="J36" s="914" t="str">
        <f t="shared" si="2"/>
        <v>Расходы на амортизацию основных средств и нематериальных активов</v>
      </c>
      <c r="K36" s="914">
        <f t="shared" si="3"/>
        <v>0</v>
      </c>
      <c r="L36" s="759" t="str">
        <f t="shared" si="4"/>
        <v>2.6</v>
      </c>
      <c r="M36" s="759" t="str">
        <f t="shared" si="5"/>
        <v>Расходы на амортизацию основных средств и нематериальных активов</v>
      </c>
      <c r="N36" s="759" t="str">
        <f t="shared" si="6"/>
        <v/>
      </c>
      <c r="O36" s="868" t="s">
        <v>617</v>
      </c>
      <c r="P36" s="868" t="s">
        <v>613</v>
      </c>
      <c r="Q36" s="868" t="s">
        <v>617</v>
      </c>
      <c r="R36" s="868" t="s">
        <v>613</v>
      </c>
      <c r="S36" s="868"/>
      <c r="T36" s="875" t="s">
        <v>1959</v>
      </c>
      <c r="U36" s="761" t="s">
        <v>1959</v>
      </c>
      <c r="V36" s="761" t="s">
        <v>1959</v>
      </c>
      <c r="W36" s="761" t="s">
        <v>1959</v>
      </c>
      <c r="X36" s="758"/>
      <c r="Y36" s="910"/>
      <c r="Z36" s="761"/>
      <c r="AA36" s="764"/>
      <c r="AB36" s="761"/>
      <c r="AC36" s="761"/>
      <c r="AD36" s="761"/>
    </row>
    <row r="37" spans="1:30" ht="18" customHeight="1">
      <c r="A37" s="760"/>
      <c r="B37" s="814">
        <v>20</v>
      </c>
      <c r="C37" s="758" t="s">
        <v>1960</v>
      </c>
      <c r="D37" s="878"/>
      <c r="E37" s="758"/>
      <c r="F37" s="758"/>
      <c r="G37" s="806"/>
      <c r="H37" s="869"/>
      <c r="I37" s="914" t="str">
        <f t="shared" si="1"/>
        <v>2.6.1</v>
      </c>
      <c r="J37" s="914" t="str">
        <f t="shared" si="2"/>
        <v>Расходы на амортизацию основных средств</v>
      </c>
      <c r="K37" s="914">
        <f t="shared" si="3"/>
        <v>0</v>
      </c>
      <c r="L37" s="759" t="str">
        <f t="shared" si="4"/>
        <v>2.6.1</v>
      </c>
      <c r="M37" s="759" t="str">
        <f t="shared" si="5"/>
        <v>Расходы на амортизацию основных средств</v>
      </c>
      <c r="N37" s="759" t="str">
        <f t="shared" si="6"/>
        <v/>
      </c>
      <c r="O37" s="868" t="s">
        <v>1961</v>
      </c>
      <c r="P37" s="868" t="s">
        <v>1944</v>
      </c>
      <c r="Q37" s="868" t="s">
        <v>1961</v>
      </c>
      <c r="R37" s="868" t="s">
        <v>1944</v>
      </c>
      <c r="S37" s="868"/>
      <c r="T37" s="875" t="s">
        <v>1962</v>
      </c>
      <c r="U37" s="761" t="s">
        <v>1962</v>
      </c>
      <c r="V37" s="761" t="s">
        <v>1962</v>
      </c>
      <c r="W37" s="761" t="s">
        <v>1962</v>
      </c>
      <c r="X37" s="758"/>
      <c r="Y37" s="910"/>
      <c r="Z37" s="761"/>
      <c r="AA37" s="764"/>
      <c r="AB37" s="761"/>
      <c r="AC37" s="761"/>
      <c r="AD37" s="761"/>
    </row>
    <row r="38" spans="1:30" ht="18" customHeight="1">
      <c r="A38" s="760"/>
      <c r="B38" s="814">
        <v>21</v>
      </c>
      <c r="C38" s="758" t="s">
        <v>1963</v>
      </c>
      <c r="D38" s="878"/>
      <c r="E38" s="758"/>
      <c r="F38" s="758"/>
      <c r="G38" s="806"/>
      <c r="H38" s="869"/>
      <c r="I38" s="914" t="str">
        <f t="shared" si="1"/>
        <v>2.6.2</v>
      </c>
      <c r="J38" s="914" t="str">
        <f t="shared" si="2"/>
        <v>Расходы на амортизацию нематериальных активов</v>
      </c>
      <c r="K38" s="914">
        <f t="shared" si="3"/>
        <v>0</v>
      </c>
      <c r="L38" s="759" t="str">
        <f t="shared" si="4"/>
        <v>2.6.2</v>
      </c>
      <c r="M38" s="759" t="str">
        <f t="shared" si="5"/>
        <v>Расходы на амортизацию нематериальных активов</v>
      </c>
      <c r="N38" s="759" t="str">
        <f t="shared" si="6"/>
        <v/>
      </c>
      <c r="O38" s="868" t="s">
        <v>1964</v>
      </c>
      <c r="P38" s="868" t="s">
        <v>1947</v>
      </c>
      <c r="Q38" s="868" t="s">
        <v>1964</v>
      </c>
      <c r="R38" s="868" t="s">
        <v>1947</v>
      </c>
      <c r="S38" s="868"/>
      <c r="T38" s="875" t="s">
        <v>1965</v>
      </c>
      <c r="U38" s="761" t="s">
        <v>1965</v>
      </c>
      <c r="V38" s="761" t="s">
        <v>1965</v>
      </c>
      <c r="W38" s="761" t="s">
        <v>1965</v>
      </c>
      <c r="X38" s="758"/>
      <c r="Y38" s="910"/>
      <c r="Z38" s="761"/>
      <c r="AA38" s="764"/>
      <c r="AB38" s="761"/>
      <c r="AC38" s="761"/>
      <c r="AD38" s="761"/>
    </row>
    <row r="39" spans="1:30" ht="36" customHeight="1">
      <c r="A39" s="760"/>
      <c r="B39" s="814">
        <v>22</v>
      </c>
      <c r="C39" s="758">
        <v>12</v>
      </c>
      <c r="D39" s="878"/>
      <c r="E39" s="758"/>
      <c r="F39" s="758"/>
      <c r="G39" s="806"/>
      <c r="H39" s="869"/>
      <c r="I39" s="914" t="str">
        <f t="shared" si="1"/>
        <v>2.7</v>
      </c>
      <c r="J39" s="914" t="str">
        <f t="shared" si="2"/>
        <v>Расходы на аренду имущества, используемого для осуществления регулируемых видов деятельности в сфере водоотведения</v>
      </c>
      <c r="K39" s="914">
        <f t="shared" si="3"/>
        <v>0</v>
      </c>
      <c r="L39" s="759" t="str">
        <f t="shared" si="4"/>
        <v>2.7</v>
      </c>
      <c r="M39" s="759" t="str">
        <f t="shared" si="5"/>
        <v>Расходы на аренду имущества, используемого для осуществления регулируемых видов деятельности в сфере водоотведения</v>
      </c>
      <c r="N39" s="759" t="str">
        <f t="shared" si="6"/>
        <v/>
      </c>
      <c r="O39" s="868" t="s">
        <v>621</v>
      </c>
      <c r="P39" s="868" t="s">
        <v>615</v>
      </c>
      <c r="Q39" s="868" t="s">
        <v>621</v>
      </c>
      <c r="R39" s="868" t="s">
        <v>615</v>
      </c>
      <c r="S39" s="868"/>
      <c r="T39" s="875" t="s">
        <v>1966</v>
      </c>
      <c r="U39" s="761" t="s">
        <v>1967</v>
      </c>
      <c r="V39" s="761" t="s">
        <v>1968</v>
      </c>
      <c r="W39" s="761" t="s">
        <v>1969</v>
      </c>
      <c r="X39" s="758"/>
      <c r="Y39" s="910"/>
      <c r="Z39" s="761"/>
      <c r="AA39" s="764"/>
      <c r="AB39" s="761"/>
      <c r="AC39" s="761"/>
      <c r="AD39" s="761"/>
    </row>
    <row r="40" spans="1:30" ht="18" customHeight="1">
      <c r="A40" s="760"/>
      <c r="B40" s="814">
        <v>23</v>
      </c>
      <c r="C40" s="758">
        <v>13</v>
      </c>
      <c r="D40" s="878"/>
      <c r="E40" s="758"/>
      <c r="F40" s="758"/>
      <c r="G40" s="758"/>
      <c r="H40" s="809"/>
      <c r="I40" s="914" t="str">
        <f t="shared" si="1"/>
        <v>2.8</v>
      </c>
      <c r="J40" s="914" t="str">
        <f t="shared" si="2"/>
        <v>Общепроизводственные расходы, в том числе:</v>
      </c>
      <c r="K40" s="914" t="str">
        <f t="shared" si="3"/>
        <v>Указывается общая сумма общепроизводственных расходов.</v>
      </c>
      <c r="L40" s="759" t="str">
        <f t="shared" si="4"/>
        <v>2.8</v>
      </c>
      <c r="M40" s="759" t="str">
        <f t="shared" si="5"/>
        <v>Общепроизводственные расходы, в том числе:</v>
      </c>
      <c r="N40" s="759" t="str">
        <f t="shared" si="6"/>
        <v>Указывается общая сумма общепроизводственных расходов.</v>
      </c>
      <c r="O40" s="868" t="s">
        <v>1970</v>
      </c>
      <c r="P40" s="868" t="s">
        <v>617</v>
      </c>
      <c r="Q40" s="868" t="s">
        <v>1970</v>
      </c>
      <c r="R40" s="868" t="s">
        <v>617</v>
      </c>
      <c r="S40" s="868"/>
      <c r="T40" s="758" t="s">
        <v>1971</v>
      </c>
      <c r="U40" s="758" t="s">
        <v>1971</v>
      </c>
      <c r="V40" s="758" t="s">
        <v>1971</v>
      </c>
      <c r="W40" s="758" t="s">
        <v>1971</v>
      </c>
      <c r="X40" s="758"/>
      <c r="Y40" s="910"/>
      <c r="Z40" s="761" t="s">
        <v>1972</v>
      </c>
      <c r="AA40" s="764" t="s">
        <v>1972</v>
      </c>
      <c r="AB40" s="764" t="s">
        <v>1972</v>
      </c>
      <c r="AC40" s="764" t="s">
        <v>1972</v>
      </c>
      <c r="AD40" s="761"/>
    </row>
    <row r="41" spans="1:30" ht="27" customHeight="1">
      <c r="A41" s="760"/>
      <c r="B41" s="814">
        <v>24</v>
      </c>
      <c r="C41" s="758" t="s">
        <v>1973</v>
      </c>
      <c r="D41" s="878"/>
      <c r="E41" s="758"/>
      <c r="F41" s="758"/>
      <c r="G41" s="758"/>
      <c r="H41" s="806"/>
      <c r="I41" s="914" t="str">
        <f t="shared" si="1"/>
        <v>2.8.1</v>
      </c>
      <c r="J41" s="914" t="str">
        <f t="shared" si="2"/>
        <v>Расходы на текущий ремонт</v>
      </c>
      <c r="K41" s="914" t="str">
        <f t="shared" si="3"/>
        <v>Указываются расходы на текущий ремонт, отнесенные к общепроизводственным расходам.</v>
      </c>
      <c r="L41" s="759" t="str">
        <f t="shared" si="4"/>
        <v>2.8.1</v>
      </c>
      <c r="M41" s="759" t="str">
        <f t="shared" si="5"/>
        <v>Расходы на текущий ремонт</v>
      </c>
      <c r="N41" s="759" t="str">
        <f t="shared" si="6"/>
        <v>Указываются расходы на текущий ремонт, отнесенные к общепроизводственным расходам.</v>
      </c>
      <c r="O41" s="868" t="s">
        <v>1974</v>
      </c>
      <c r="P41" s="868" t="s">
        <v>1961</v>
      </c>
      <c r="Q41" s="868" t="s">
        <v>1974</v>
      </c>
      <c r="R41" s="868" t="s">
        <v>1961</v>
      </c>
      <c r="S41" s="868"/>
      <c r="T41" s="758" t="s">
        <v>1975</v>
      </c>
      <c r="U41" s="758" t="s">
        <v>1975</v>
      </c>
      <c r="V41" s="758" t="s">
        <v>1975</v>
      </c>
      <c r="W41" s="758" t="s">
        <v>1975</v>
      </c>
      <c r="X41" s="758"/>
      <c r="Y41" s="910"/>
      <c r="Z41" s="761" t="s">
        <v>1976</v>
      </c>
      <c r="AA41" s="761" t="s">
        <v>1976</v>
      </c>
      <c r="AB41" s="761" t="s">
        <v>1976</v>
      </c>
      <c r="AC41" s="761" t="s">
        <v>1976</v>
      </c>
      <c r="AD41" s="761"/>
    </row>
    <row r="42" spans="1:30" ht="27" customHeight="1">
      <c r="A42" s="760"/>
      <c r="B42" s="814">
        <v>25</v>
      </c>
      <c r="C42" s="758" t="s">
        <v>1977</v>
      </c>
      <c r="D42" s="878"/>
      <c r="E42" s="758"/>
      <c r="F42" s="758"/>
      <c r="G42" s="758"/>
      <c r="H42" s="806"/>
      <c r="I42" s="914" t="str">
        <f t="shared" si="1"/>
        <v>2.8.2</v>
      </c>
      <c r="J42" s="914" t="str">
        <f t="shared" si="2"/>
        <v>Расходы на капитальный ремонт</v>
      </c>
      <c r="K42" s="914" t="str">
        <f t="shared" si="3"/>
        <v>Указываются расходы на капитальный ремонт, отнесенные к общепроизводственным расходам.</v>
      </c>
      <c r="L42" s="759" t="str">
        <f t="shared" si="4"/>
        <v>2.8.2</v>
      </c>
      <c r="M42" s="759" t="str">
        <f t="shared" si="5"/>
        <v>Расходы на капитальный ремонт</v>
      </c>
      <c r="N42" s="759" t="str">
        <f t="shared" si="6"/>
        <v>Указываются расходы на капитальный ремонт, отнесенные к общепроизводственным расходам.</v>
      </c>
      <c r="O42" s="868" t="s">
        <v>1978</v>
      </c>
      <c r="P42" s="868" t="s">
        <v>1964</v>
      </c>
      <c r="Q42" s="868" t="s">
        <v>1978</v>
      </c>
      <c r="R42" s="868" t="s">
        <v>1964</v>
      </c>
      <c r="S42" s="868"/>
      <c r="T42" s="758" t="s">
        <v>1979</v>
      </c>
      <c r="U42" s="758" t="s">
        <v>1979</v>
      </c>
      <c r="V42" s="758" t="s">
        <v>1979</v>
      </c>
      <c r="W42" s="758" t="s">
        <v>1979</v>
      </c>
      <c r="X42" s="758"/>
      <c r="Y42" s="910"/>
      <c r="Z42" s="761" t="s">
        <v>1980</v>
      </c>
      <c r="AA42" s="761" t="s">
        <v>1980</v>
      </c>
      <c r="AB42" s="761" t="s">
        <v>1980</v>
      </c>
      <c r="AC42" s="761" t="s">
        <v>1980</v>
      </c>
      <c r="AD42" s="761"/>
    </row>
    <row r="43" spans="1:30" ht="18" customHeight="1">
      <c r="A43" s="760"/>
      <c r="B43" s="814">
        <v>26</v>
      </c>
      <c r="C43" s="758">
        <v>14</v>
      </c>
      <c r="D43" s="878"/>
      <c r="E43" s="758"/>
      <c r="F43" s="758"/>
      <c r="G43" s="758"/>
      <c r="H43" s="806"/>
      <c r="I43" s="914" t="str">
        <f t="shared" si="1"/>
        <v>2.9</v>
      </c>
      <c r="J43" s="914" t="str">
        <f t="shared" si="2"/>
        <v>Общехозяйственные расходы, в том числе:</v>
      </c>
      <c r="K43" s="914" t="str">
        <f t="shared" si="3"/>
        <v>Указывается общая сумма общехозяйственных расходов.</v>
      </c>
      <c r="L43" s="759" t="str">
        <f t="shared" si="4"/>
        <v>2.9</v>
      </c>
      <c r="M43" s="759" t="str">
        <f t="shared" si="5"/>
        <v>Общехозяйственные расходы, в том числе:</v>
      </c>
      <c r="N43" s="759" t="str">
        <f t="shared" si="6"/>
        <v>Указывается общая сумма общехозяйственных расходов.</v>
      </c>
      <c r="O43" s="868" t="s">
        <v>1981</v>
      </c>
      <c r="P43" s="868" t="s">
        <v>621</v>
      </c>
      <c r="Q43" s="868" t="s">
        <v>1981</v>
      </c>
      <c r="R43" s="868" t="s">
        <v>621</v>
      </c>
      <c r="S43" s="868"/>
      <c r="T43" s="758" t="s">
        <v>1982</v>
      </c>
      <c r="U43" s="758" t="s">
        <v>1982</v>
      </c>
      <c r="V43" s="758" t="s">
        <v>1982</v>
      </c>
      <c r="W43" s="758" t="s">
        <v>1982</v>
      </c>
      <c r="X43" s="758"/>
      <c r="Y43" s="910"/>
      <c r="Z43" s="761" t="s">
        <v>1983</v>
      </c>
      <c r="AA43" s="761" t="s">
        <v>1983</v>
      </c>
      <c r="AB43" s="761" t="s">
        <v>1983</v>
      </c>
      <c r="AC43" s="761" t="s">
        <v>1983</v>
      </c>
      <c r="AD43" s="761"/>
    </row>
    <row r="44" spans="1:30" ht="27" customHeight="1">
      <c r="A44" s="760"/>
      <c r="B44" s="814">
        <v>27</v>
      </c>
      <c r="C44" s="758" t="s">
        <v>1984</v>
      </c>
      <c r="D44" s="878"/>
      <c r="E44" s="758"/>
      <c r="F44" s="758"/>
      <c r="G44" s="758"/>
      <c r="H44" s="806"/>
      <c r="I44" s="914" t="str">
        <f t="shared" si="1"/>
        <v>2.9.1</v>
      </c>
      <c r="J44" s="914" t="str">
        <f t="shared" si="2"/>
        <v>Расходы на текущий ремонт</v>
      </c>
      <c r="K44" s="914" t="str">
        <f t="shared" si="3"/>
        <v>Указываются расходы на текущий ремонт, отнесенные к общехозяйственным расходам.</v>
      </c>
      <c r="L44" s="759" t="str">
        <f t="shared" si="4"/>
        <v>2.9.1</v>
      </c>
      <c r="M44" s="759" t="str">
        <f t="shared" si="5"/>
        <v>Расходы на текущий ремонт</v>
      </c>
      <c r="N44" s="759" t="str">
        <f t="shared" si="6"/>
        <v>Указываются расходы на текущий ремонт, отнесенные к общехозяйственным расходам.</v>
      </c>
      <c r="O44" s="868" t="s">
        <v>1985</v>
      </c>
      <c r="P44" s="868" t="s">
        <v>1986</v>
      </c>
      <c r="Q44" s="868" t="s">
        <v>1985</v>
      </c>
      <c r="R44" s="868" t="s">
        <v>1986</v>
      </c>
      <c r="S44" s="868"/>
      <c r="T44" s="758" t="s">
        <v>1975</v>
      </c>
      <c r="U44" s="758" t="s">
        <v>1975</v>
      </c>
      <c r="V44" s="758" t="s">
        <v>1975</v>
      </c>
      <c r="W44" s="758" t="s">
        <v>1975</v>
      </c>
      <c r="X44" s="758"/>
      <c r="Y44" s="910"/>
      <c r="Z44" s="761" t="s">
        <v>1987</v>
      </c>
      <c r="AA44" s="761" t="s">
        <v>1987</v>
      </c>
      <c r="AB44" s="761" t="s">
        <v>1987</v>
      </c>
      <c r="AC44" s="761" t="s">
        <v>1987</v>
      </c>
      <c r="AD44" s="761"/>
    </row>
    <row r="45" spans="1:30" ht="27" customHeight="1">
      <c r="A45" s="760"/>
      <c r="B45" s="814">
        <v>28</v>
      </c>
      <c r="C45" s="758" t="s">
        <v>1988</v>
      </c>
      <c r="D45" s="878"/>
      <c r="E45" s="758"/>
      <c r="F45" s="758"/>
      <c r="G45" s="758"/>
      <c r="H45" s="806"/>
      <c r="I45" s="914" t="str">
        <f t="shared" si="1"/>
        <v>2.9.2</v>
      </c>
      <c r="J45" s="914" t="str">
        <f t="shared" si="2"/>
        <v>Расходы на капитальный ремонт</v>
      </c>
      <c r="K45" s="914" t="str">
        <f t="shared" si="3"/>
        <v>Указываются расходы на капитальный ремонт, отнесенные к общехозяйственным расходам.</v>
      </c>
      <c r="L45" s="759" t="str">
        <f t="shared" si="4"/>
        <v>2.9.2</v>
      </c>
      <c r="M45" s="759" t="str">
        <f t="shared" si="5"/>
        <v>Расходы на капитальный ремонт</v>
      </c>
      <c r="N45" s="759" t="str">
        <f t="shared" si="6"/>
        <v>Указываются расходы на капитальный ремонт, отнесенные к общехозяйственным расходам.</v>
      </c>
      <c r="O45" s="868" t="s">
        <v>1989</v>
      </c>
      <c r="P45" s="868" t="s">
        <v>1990</v>
      </c>
      <c r="Q45" s="868" t="s">
        <v>1989</v>
      </c>
      <c r="R45" s="868" t="s">
        <v>1990</v>
      </c>
      <c r="S45" s="868"/>
      <c r="T45" s="758" t="s">
        <v>1979</v>
      </c>
      <c r="U45" s="758" t="s">
        <v>1979</v>
      </c>
      <c r="V45" s="758" t="s">
        <v>1979</v>
      </c>
      <c r="W45" s="758" t="s">
        <v>1979</v>
      </c>
      <c r="X45" s="758"/>
      <c r="Y45" s="910"/>
      <c r="Z45" s="761" t="s">
        <v>1991</v>
      </c>
      <c r="AA45" s="761" t="s">
        <v>1991</v>
      </c>
      <c r="AB45" s="761" t="s">
        <v>1991</v>
      </c>
      <c r="AC45" s="761" t="s">
        <v>1991</v>
      </c>
      <c r="AD45" s="761"/>
    </row>
    <row r="46" spans="1:30" ht="54" customHeight="1">
      <c r="A46" s="760"/>
      <c r="B46" s="814">
        <v>29</v>
      </c>
      <c r="C46" s="758">
        <v>15</v>
      </c>
      <c r="D46" s="878"/>
      <c r="E46" s="758"/>
      <c r="F46" s="758"/>
      <c r="G46" s="758"/>
      <c r="H46" s="806"/>
      <c r="I46" s="914" t="str">
        <f t="shared" si="1"/>
        <v>2.10</v>
      </c>
      <c r="J46" s="914" t="str">
        <f t="shared" si="2"/>
        <v>Расходы на капитальный и текущий ремонт основных средств</v>
      </c>
      <c r="K46" s="91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59" t="str">
        <f t="shared" si="4"/>
        <v>2.10</v>
      </c>
      <c r="M46" s="759" t="str">
        <f t="shared" si="5"/>
        <v>Расходы на капитальный и текущий ремонт основных средств</v>
      </c>
      <c r="N46" s="759"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68" t="s">
        <v>1992</v>
      </c>
      <c r="P46" s="868" t="s">
        <v>1970</v>
      </c>
      <c r="Q46" s="868" t="s">
        <v>1992</v>
      </c>
      <c r="R46" s="868" t="s">
        <v>1970</v>
      </c>
      <c r="S46" s="868"/>
      <c r="T46" s="758" t="s">
        <v>1993</v>
      </c>
      <c r="U46" s="758" t="s">
        <v>1993</v>
      </c>
      <c r="V46" s="758" t="s">
        <v>1993</v>
      </c>
      <c r="W46" s="758" t="s">
        <v>1993</v>
      </c>
      <c r="X46" s="758"/>
      <c r="Y46" s="910"/>
      <c r="Z46" s="761" t="s">
        <v>1994</v>
      </c>
      <c r="AA46" s="761" t="s">
        <v>1995</v>
      </c>
      <c r="AB46" s="761" t="s">
        <v>1995</v>
      </c>
      <c r="AC46" s="761" t="s">
        <v>1995</v>
      </c>
      <c r="AD46" s="761"/>
    </row>
    <row r="47" spans="1:30" ht="54" customHeight="1">
      <c r="A47" s="760"/>
      <c r="B47" s="814">
        <v>30</v>
      </c>
      <c r="C47" s="758" t="s">
        <v>1996</v>
      </c>
      <c r="D47" s="878"/>
      <c r="E47" s="758"/>
      <c r="F47" s="758"/>
      <c r="G47" s="758"/>
      <c r="H47" s="806"/>
      <c r="I47" s="914" t="str">
        <f t="shared" si="1"/>
        <v>2.10.1</v>
      </c>
      <c r="J47" s="91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14">
        <f t="shared" si="3"/>
        <v>0</v>
      </c>
      <c r="L47" s="759" t="str">
        <f t="shared" si="4"/>
        <v>2.10.1</v>
      </c>
      <c r="M47" s="759"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59" t="str">
        <f t="shared" si="6"/>
        <v/>
      </c>
      <c r="O47" s="868" t="s">
        <v>1997</v>
      </c>
      <c r="P47" s="868" t="s">
        <v>1974</v>
      </c>
      <c r="Q47" s="868" t="s">
        <v>1997</v>
      </c>
      <c r="R47" s="868" t="s">
        <v>1974</v>
      </c>
      <c r="S47" s="868"/>
      <c r="T47" s="758" t="s">
        <v>1998</v>
      </c>
      <c r="U47" s="758" t="s">
        <v>1998</v>
      </c>
      <c r="V47" s="758" t="s">
        <v>1998</v>
      </c>
      <c r="W47" s="758" t="s">
        <v>1998</v>
      </c>
      <c r="X47" s="758"/>
      <c r="Y47" s="910"/>
      <c r="Z47" s="761"/>
      <c r="AA47" s="764"/>
      <c r="AB47" s="764"/>
      <c r="AC47" s="764"/>
      <c r="AD47" s="761"/>
    </row>
    <row r="48" spans="1:30" ht="54" customHeight="1">
      <c r="A48" s="760"/>
      <c r="B48" s="814">
        <v>31</v>
      </c>
      <c r="C48" s="758">
        <v>16</v>
      </c>
      <c r="D48" s="878"/>
      <c r="E48" s="758"/>
      <c r="F48" s="758"/>
      <c r="G48" s="758"/>
      <c r="H48" s="806"/>
      <c r="I48" s="914" t="str">
        <f t="shared" si="1"/>
        <v>2.11</v>
      </c>
      <c r="J48" s="914"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1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59" t="str">
        <f t="shared" si="4"/>
        <v>2.11</v>
      </c>
      <c r="M48" s="759"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59"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68"/>
      <c r="P48" s="868" t="s">
        <v>1981</v>
      </c>
      <c r="Q48" s="868" t="s">
        <v>1999</v>
      </c>
      <c r="R48" s="868" t="s">
        <v>1981</v>
      </c>
      <c r="S48" s="868"/>
      <c r="T48" s="758"/>
      <c r="U48" s="758" t="s">
        <v>2000</v>
      </c>
      <c r="V48" s="758" t="s">
        <v>2001</v>
      </c>
      <c r="W48" s="758" t="s">
        <v>2001</v>
      </c>
      <c r="X48" s="758"/>
      <c r="Y48" s="910"/>
      <c r="Z48" s="761"/>
      <c r="AA48" s="764" t="s">
        <v>1995</v>
      </c>
      <c r="AB48" s="764" t="s">
        <v>1995</v>
      </c>
      <c r="AC48" s="764" t="s">
        <v>1995</v>
      </c>
      <c r="AD48" s="761"/>
    </row>
    <row r="49" spans="1:30" ht="54" customHeight="1">
      <c r="A49" s="760"/>
      <c r="B49" s="814">
        <v>32</v>
      </c>
      <c r="C49" s="758" t="s">
        <v>2002</v>
      </c>
      <c r="D49" s="878"/>
      <c r="E49" s="758"/>
      <c r="F49" s="758"/>
      <c r="G49" s="758"/>
      <c r="H49" s="806"/>
      <c r="I49" s="914" t="str">
        <f t="shared" si="1"/>
        <v>2.11.1</v>
      </c>
      <c r="J49" s="91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14">
        <f t="shared" si="3"/>
        <v>0</v>
      </c>
      <c r="L49" s="759" t="str">
        <f t="shared" si="4"/>
        <v>2.11.1</v>
      </c>
      <c r="M49" s="759"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59" t="str">
        <f t="shared" si="6"/>
        <v/>
      </c>
      <c r="O49" s="868"/>
      <c r="P49" s="868" t="s">
        <v>1985</v>
      </c>
      <c r="Q49" s="868" t="s">
        <v>2003</v>
      </c>
      <c r="R49" s="868" t="s">
        <v>1985</v>
      </c>
      <c r="S49" s="868"/>
      <c r="T49" s="758"/>
      <c r="U49" s="758" t="s">
        <v>1998</v>
      </c>
      <c r="V49" s="758" t="s">
        <v>1998</v>
      </c>
      <c r="W49" s="758" t="s">
        <v>1998</v>
      </c>
      <c r="X49" s="758"/>
      <c r="Y49" s="910"/>
      <c r="Z49" s="761"/>
      <c r="AA49" s="764"/>
      <c r="AB49" s="764"/>
      <c r="AC49" s="764"/>
      <c r="AD49" s="761"/>
    </row>
    <row r="50" spans="1:30" ht="126" customHeight="1">
      <c r="A50" s="760"/>
      <c r="B50" s="814">
        <v>33</v>
      </c>
      <c r="C50" s="758">
        <v>17</v>
      </c>
      <c r="D50" s="878"/>
      <c r="E50" s="758"/>
      <c r="F50" s="758"/>
      <c r="G50" s="758"/>
      <c r="H50" s="806"/>
      <c r="I50" s="914" t="str">
        <f t="shared" ref="I50:I81" si="7">INDEX(TEMPLATE_NUMBER_POINT_FHD,B50,MATCH(TEMPLATE_SPHERE,TEMPLATE_SPHERE_LIST_FOR_NOTE,0))</f>
        <v>2.12</v>
      </c>
      <c r="J50" s="914" t="str">
        <f t="shared" ref="J50:J81" si="8">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91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59" t="str">
        <f t="shared" ref="L50:L81" si="10">IF(I50=0,"",I50)</f>
        <v>2.12</v>
      </c>
      <c r="M50" s="759" t="str">
        <f t="shared" ref="M50:M81" si="11">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759"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68" t="s">
        <v>1999</v>
      </c>
      <c r="P50" s="868" t="s">
        <v>1992</v>
      </c>
      <c r="Q50" s="868" t="s">
        <v>2004</v>
      </c>
      <c r="R50" s="868" t="s">
        <v>1992</v>
      </c>
      <c r="S50" s="868"/>
      <c r="T50" s="758" t="s">
        <v>2005</v>
      </c>
      <c r="U50" s="758" t="s">
        <v>2006</v>
      </c>
      <c r="V50" s="758" t="s">
        <v>2007</v>
      </c>
      <c r="W50" s="758" t="s">
        <v>2008</v>
      </c>
      <c r="X50" s="758"/>
      <c r="Y50" s="910"/>
      <c r="Z50" s="761" t="s">
        <v>2009</v>
      </c>
      <c r="AA50" s="764" t="s">
        <v>2010</v>
      </c>
      <c r="AB50" s="764" t="s">
        <v>2010</v>
      </c>
      <c r="AC50" s="764" t="s">
        <v>2010</v>
      </c>
      <c r="AD50" s="761"/>
    </row>
    <row r="51" spans="1:30" ht="27" customHeight="1">
      <c r="A51" s="760"/>
      <c r="B51" s="814">
        <v>34</v>
      </c>
      <c r="C51" s="758" t="s">
        <v>2011</v>
      </c>
      <c r="D51" s="878"/>
      <c r="E51" s="758"/>
      <c r="F51" s="758"/>
      <c r="G51" s="758"/>
      <c r="H51" s="806"/>
      <c r="I51" s="914">
        <f t="shared" si="7"/>
        <v>0</v>
      </c>
      <c r="J51" s="914">
        <f t="shared" si="8"/>
        <v>0</v>
      </c>
      <c r="K51" s="914">
        <f t="shared" si="9"/>
        <v>0</v>
      </c>
      <c r="L51" s="759" t="str">
        <f t="shared" si="10"/>
        <v/>
      </c>
      <c r="M51" s="759" t="str">
        <f t="shared" si="11"/>
        <v/>
      </c>
      <c r="N51" s="759" t="str">
        <f t="shared" si="12"/>
        <v/>
      </c>
      <c r="O51" s="868" t="s">
        <v>75</v>
      </c>
      <c r="P51" s="868"/>
      <c r="Q51" s="868"/>
      <c r="R51" s="868"/>
      <c r="S51" s="868"/>
      <c r="T51" s="758" t="s">
        <v>2012</v>
      </c>
      <c r="U51" s="758"/>
      <c r="V51" s="758"/>
      <c r="W51" s="758"/>
      <c r="X51" s="758"/>
      <c r="Y51" s="910"/>
      <c r="Z51" s="761"/>
      <c r="AA51" s="764"/>
      <c r="AB51" s="764"/>
      <c r="AC51" s="764"/>
      <c r="AD51" s="761"/>
    </row>
    <row r="52" spans="1:30" ht="36" customHeight="1">
      <c r="A52" s="760"/>
      <c r="B52" s="814">
        <v>35</v>
      </c>
      <c r="C52" s="758" t="s">
        <v>1904</v>
      </c>
      <c r="D52" s="878" t="s">
        <v>1904</v>
      </c>
      <c r="E52" s="758" t="s">
        <v>1904</v>
      </c>
      <c r="F52" s="758" t="s">
        <v>1904</v>
      </c>
      <c r="G52" s="758"/>
      <c r="H52" s="806"/>
      <c r="I52" s="914" t="str">
        <f t="shared" si="7"/>
        <v>3</v>
      </c>
      <c r="J52" s="914" t="str">
        <f t="shared" si="8"/>
        <v>Чистая прибыль, полученная от регулируемого вида деятельности в сфере водоотведения, в том числе:</v>
      </c>
      <c r="K52" s="914" t="str">
        <f t="shared" si="9"/>
        <v>Указывается общая сумма чистой прибыли, полученной от регулируемого вида деятельности.</v>
      </c>
      <c r="L52" s="759" t="str">
        <f t="shared" si="10"/>
        <v>3</v>
      </c>
      <c r="M52" s="759" t="str">
        <f t="shared" si="11"/>
        <v>Чистая прибыль, полученная от регулируемого вида деятельности в сфере водоотведения, в том числе:</v>
      </c>
      <c r="N52" s="759" t="str">
        <f t="shared" si="12"/>
        <v>Указывается общая сумма чистой прибыли, полученной от регулируемого вида деятельности.</v>
      </c>
      <c r="O52" s="868" t="s">
        <v>76</v>
      </c>
      <c r="P52" s="868" t="s">
        <v>75</v>
      </c>
      <c r="Q52" s="868" t="s">
        <v>75</v>
      </c>
      <c r="R52" s="868" t="s">
        <v>75</v>
      </c>
      <c r="S52" s="868"/>
      <c r="T52" s="758" t="s">
        <v>2013</v>
      </c>
      <c r="U52" s="758" t="s">
        <v>2014</v>
      </c>
      <c r="V52" s="758" t="s">
        <v>2015</v>
      </c>
      <c r="W52" s="758" t="s">
        <v>2016</v>
      </c>
      <c r="X52" s="758"/>
      <c r="Y52" s="910"/>
      <c r="Z52" s="761" t="s">
        <v>625</v>
      </c>
      <c r="AA52" s="764" t="s">
        <v>625</v>
      </c>
      <c r="AB52" s="764" t="s">
        <v>625</v>
      </c>
      <c r="AC52" s="764" t="s">
        <v>625</v>
      </c>
      <c r="AD52" s="761"/>
    </row>
    <row r="53" spans="1:30" ht="36" customHeight="1">
      <c r="A53" s="760"/>
      <c r="B53" s="814">
        <v>36</v>
      </c>
      <c r="C53" s="758">
        <v>1</v>
      </c>
      <c r="D53" s="878"/>
      <c r="E53" s="758"/>
      <c r="F53" s="758"/>
      <c r="G53" s="758"/>
      <c r="H53" s="806"/>
      <c r="I53" s="914" t="str">
        <f t="shared" si="7"/>
        <v>3.1</v>
      </c>
      <c r="J53" s="91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14">
        <f t="shared" si="9"/>
        <v>0</v>
      </c>
      <c r="L53" s="759" t="str">
        <f t="shared" si="10"/>
        <v>3.1</v>
      </c>
      <c r="M53" s="759"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59" t="str">
        <f t="shared" si="12"/>
        <v/>
      </c>
      <c r="O53" s="868" t="s">
        <v>629</v>
      </c>
      <c r="P53" s="868" t="s">
        <v>294</v>
      </c>
      <c r="Q53" s="868" t="s">
        <v>294</v>
      </c>
      <c r="R53" s="868" t="s">
        <v>294</v>
      </c>
      <c r="S53" s="868"/>
      <c r="T53" s="758" t="s">
        <v>2017</v>
      </c>
      <c r="U53" s="758" t="s">
        <v>2017</v>
      </c>
      <c r="V53" s="758" t="s">
        <v>2017</v>
      </c>
      <c r="W53" s="758" t="s">
        <v>2017</v>
      </c>
      <c r="X53" s="758"/>
      <c r="Y53" s="910"/>
      <c r="Z53" s="761"/>
      <c r="AA53" s="764"/>
      <c r="AB53" s="761"/>
      <c r="AC53" s="761"/>
      <c r="AD53" s="761"/>
    </row>
    <row r="54" spans="1:30" ht="18" customHeight="1">
      <c r="A54" s="760"/>
      <c r="B54" s="814">
        <v>37</v>
      </c>
      <c r="C54" s="758" t="s">
        <v>1910</v>
      </c>
      <c r="D54" s="878" t="s">
        <v>1910</v>
      </c>
      <c r="E54" s="758" t="s">
        <v>1910</v>
      </c>
      <c r="F54" s="758" t="s">
        <v>1910</v>
      </c>
      <c r="G54" s="758"/>
      <c r="H54" s="806"/>
      <c r="I54" s="914" t="str">
        <f t="shared" si="7"/>
        <v>4</v>
      </c>
      <c r="J54" s="914" t="str">
        <f t="shared" si="8"/>
        <v>Изменение стоимости основных фондов, в том числе:</v>
      </c>
      <c r="K54" s="914" t="str">
        <f t="shared" si="9"/>
        <v>Указывается общее изменение стоимости основных фондов.</v>
      </c>
      <c r="L54" s="759" t="str">
        <f t="shared" si="10"/>
        <v>4</v>
      </c>
      <c r="M54" s="759" t="str">
        <f t="shared" si="11"/>
        <v>Изменение стоимости основных фондов, в том числе:</v>
      </c>
      <c r="N54" s="759" t="str">
        <f t="shared" si="12"/>
        <v>Указывается общее изменение стоимости основных фондов.</v>
      </c>
      <c r="O54" s="868" t="s">
        <v>93</v>
      </c>
      <c r="P54" s="868" t="s">
        <v>76</v>
      </c>
      <c r="Q54" s="868" t="s">
        <v>76</v>
      </c>
      <c r="R54" s="868" t="s">
        <v>76</v>
      </c>
      <c r="S54" s="868"/>
      <c r="T54" s="758" t="s">
        <v>627</v>
      </c>
      <c r="U54" s="758" t="s">
        <v>627</v>
      </c>
      <c r="V54" s="758" t="s">
        <v>627</v>
      </c>
      <c r="W54" s="758" t="s">
        <v>627</v>
      </c>
      <c r="X54" s="758"/>
      <c r="Y54" s="910"/>
      <c r="Z54" s="761" t="s">
        <v>628</v>
      </c>
      <c r="AA54" s="761" t="s">
        <v>628</v>
      </c>
      <c r="AB54" s="761" t="s">
        <v>628</v>
      </c>
      <c r="AC54" s="761" t="s">
        <v>628</v>
      </c>
      <c r="AD54" s="761"/>
    </row>
    <row r="55" spans="1:30" ht="36" customHeight="1">
      <c r="A55" s="760"/>
      <c r="B55" s="814">
        <v>38</v>
      </c>
      <c r="C55" s="758">
        <v>1</v>
      </c>
      <c r="D55" s="878"/>
      <c r="E55" s="758"/>
      <c r="F55" s="758"/>
      <c r="G55" s="758"/>
      <c r="H55" s="806"/>
      <c r="I55" s="914" t="str">
        <f t="shared" si="7"/>
        <v>4.1</v>
      </c>
      <c r="J55" s="914" t="str">
        <f t="shared" si="8"/>
        <v>Изменение стоимости основных фондов за счет их ввода в эксплуатацию (вывода из эксплуатации)</v>
      </c>
      <c r="K55" s="914" t="str">
        <f t="shared" si="9"/>
        <v>Указываются общее изменение стоимости основных фондов за счет их ввода в эксплуатацию и вывода из эксплуатации.</v>
      </c>
      <c r="L55" s="759" t="str">
        <f t="shared" si="10"/>
        <v>4.1</v>
      </c>
      <c r="M55" s="759" t="str">
        <f t="shared" si="11"/>
        <v>Изменение стоимости основных фондов за счет их ввода в эксплуатацию (вывода из эксплуатации)</v>
      </c>
      <c r="N55" s="759" t="str">
        <f t="shared" si="12"/>
        <v>Указываются общее изменение стоимости основных фондов за счет их ввода в эксплуатацию и вывода из эксплуатации.</v>
      </c>
      <c r="O55" s="868" t="s">
        <v>283</v>
      </c>
      <c r="P55" s="868" t="s">
        <v>629</v>
      </c>
      <c r="Q55" s="868" t="s">
        <v>629</v>
      </c>
      <c r="R55" s="868" t="s">
        <v>629</v>
      </c>
      <c r="S55" s="868"/>
      <c r="T55" s="758" t="s">
        <v>2018</v>
      </c>
      <c r="U55" s="758" t="s">
        <v>2019</v>
      </c>
      <c r="V55" s="758" t="s">
        <v>2019</v>
      </c>
      <c r="W55" s="758" t="s">
        <v>2019</v>
      </c>
      <c r="X55" s="758"/>
      <c r="Y55" s="910"/>
      <c r="Z55" s="761" t="s">
        <v>2020</v>
      </c>
      <c r="AA55" s="761" t="s">
        <v>2020</v>
      </c>
      <c r="AB55" s="761" t="s">
        <v>2020</v>
      </c>
      <c r="AC55" s="761" t="s">
        <v>2020</v>
      </c>
      <c r="AD55" s="761"/>
    </row>
    <row r="56" spans="1:30" ht="27" customHeight="1">
      <c r="A56" s="760"/>
      <c r="B56" s="814">
        <v>39</v>
      </c>
      <c r="C56" s="758" t="s">
        <v>898</v>
      </c>
      <c r="D56" s="878"/>
      <c r="E56" s="758"/>
      <c r="F56" s="758"/>
      <c r="G56" s="758"/>
      <c r="H56" s="806"/>
      <c r="I56" s="914" t="str">
        <f t="shared" si="7"/>
        <v>4.1.1</v>
      </c>
      <c r="J56" s="914" t="str">
        <f t="shared" si="8"/>
        <v>Изменение стоимости основных фондов за счет их ввода в эксплуатацию</v>
      </c>
      <c r="K56" s="914" t="str">
        <f t="shared" si="9"/>
        <v>Указываются изменение стоимости основных фондов за счет их ввода в эксплуатацию.</v>
      </c>
      <c r="L56" s="759" t="str">
        <f t="shared" si="10"/>
        <v>4.1.1</v>
      </c>
      <c r="M56" s="759" t="str">
        <f t="shared" si="11"/>
        <v>Изменение стоимости основных фондов за счет их ввода в эксплуатацию</v>
      </c>
      <c r="N56" s="759" t="str">
        <f t="shared" si="12"/>
        <v>Указываются изменение стоимости основных фондов за счет их ввода в эксплуатацию.</v>
      </c>
      <c r="O56" s="868" t="s">
        <v>1017</v>
      </c>
      <c r="P56" s="868" t="s">
        <v>632</v>
      </c>
      <c r="Q56" s="868" t="s">
        <v>632</v>
      </c>
      <c r="R56" s="868" t="s">
        <v>632</v>
      </c>
      <c r="S56" s="868"/>
      <c r="T56" s="758" t="s">
        <v>2021</v>
      </c>
      <c r="U56" s="758" t="s">
        <v>2022</v>
      </c>
      <c r="V56" s="758" t="s">
        <v>2022</v>
      </c>
      <c r="W56" s="758" t="s">
        <v>2022</v>
      </c>
      <c r="X56" s="758"/>
      <c r="Y56" s="910"/>
      <c r="Z56" s="761" t="s">
        <v>634</v>
      </c>
      <c r="AA56" s="761" t="s">
        <v>634</v>
      </c>
      <c r="AB56" s="761" t="s">
        <v>634</v>
      </c>
      <c r="AC56" s="761" t="s">
        <v>634</v>
      </c>
      <c r="AD56" s="761"/>
    </row>
    <row r="57" spans="1:30" ht="27" customHeight="1">
      <c r="A57" s="760"/>
      <c r="B57" s="814">
        <v>40</v>
      </c>
      <c r="C57" s="758" t="s">
        <v>900</v>
      </c>
      <c r="D57" s="878"/>
      <c r="E57" s="758"/>
      <c r="F57" s="758"/>
      <c r="G57" s="758"/>
      <c r="H57" s="806"/>
      <c r="I57" s="914" t="str">
        <f t="shared" si="7"/>
        <v>4.1.2</v>
      </c>
      <c r="J57" s="914" t="str">
        <f t="shared" si="8"/>
        <v>Изменение стоимости основных фондов за счет их вывода в эксплуатацию</v>
      </c>
      <c r="K57" s="914" t="str">
        <f t="shared" si="9"/>
        <v>Указываются изменение стоимости основных фондов за счет их вывода из эксплуатации.</v>
      </c>
      <c r="L57" s="759" t="str">
        <f t="shared" si="10"/>
        <v>4.1.2</v>
      </c>
      <c r="M57" s="759" t="str">
        <f t="shared" si="11"/>
        <v>Изменение стоимости основных фондов за счет их вывода в эксплуатацию</v>
      </c>
      <c r="N57" s="759" t="str">
        <f t="shared" si="12"/>
        <v>Указываются изменение стоимости основных фондов за счет их вывода из эксплуатации.</v>
      </c>
      <c r="O57" s="868" t="s">
        <v>2023</v>
      </c>
      <c r="P57" s="868" t="s">
        <v>635</v>
      </c>
      <c r="Q57" s="868" t="s">
        <v>635</v>
      </c>
      <c r="R57" s="868" t="s">
        <v>635</v>
      </c>
      <c r="S57" s="868"/>
      <c r="T57" s="758" t="s">
        <v>2024</v>
      </c>
      <c r="U57" s="758" t="s">
        <v>2025</v>
      </c>
      <c r="V57" s="758" t="s">
        <v>2025</v>
      </c>
      <c r="W57" s="758" t="s">
        <v>2025</v>
      </c>
      <c r="X57" s="758"/>
      <c r="Y57" s="910"/>
      <c r="Z57" s="761" t="s">
        <v>637</v>
      </c>
      <c r="AA57" s="761" t="s">
        <v>637</v>
      </c>
      <c r="AB57" s="761" t="s">
        <v>637</v>
      </c>
      <c r="AC57" s="761" t="s">
        <v>637</v>
      </c>
      <c r="AD57" s="761"/>
    </row>
    <row r="58" spans="1:30" ht="18" customHeight="1">
      <c r="A58" s="760"/>
      <c r="B58" s="814">
        <v>41</v>
      </c>
      <c r="C58" s="758">
        <v>2</v>
      </c>
      <c r="D58" s="878"/>
      <c r="E58" s="758"/>
      <c r="F58" s="758"/>
      <c r="G58" s="758"/>
      <c r="H58" s="806"/>
      <c r="I58" s="914" t="str">
        <f t="shared" si="7"/>
        <v>4.2</v>
      </c>
      <c r="J58" s="914" t="str">
        <f t="shared" si="8"/>
        <v>Изменение стоимости основных фондов за счет их переоценки</v>
      </c>
      <c r="K58" s="914">
        <f t="shared" si="9"/>
        <v>0</v>
      </c>
      <c r="L58" s="759" t="str">
        <f t="shared" si="10"/>
        <v>4.2</v>
      </c>
      <c r="M58" s="759" t="str">
        <f t="shared" si="11"/>
        <v>Изменение стоимости основных фондов за счет их переоценки</v>
      </c>
      <c r="N58" s="759" t="str">
        <f t="shared" si="12"/>
        <v/>
      </c>
      <c r="O58" s="868" t="s">
        <v>285</v>
      </c>
      <c r="P58" s="868" t="s">
        <v>672</v>
      </c>
      <c r="Q58" s="868" t="s">
        <v>672</v>
      </c>
      <c r="R58" s="868" t="s">
        <v>672</v>
      </c>
      <c r="S58" s="868"/>
      <c r="T58" s="758" t="s">
        <v>2026</v>
      </c>
      <c r="U58" s="758" t="s">
        <v>2026</v>
      </c>
      <c r="V58" s="758" t="s">
        <v>2026</v>
      </c>
      <c r="W58" s="758" t="s">
        <v>2026</v>
      </c>
      <c r="X58" s="758"/>
      <c r="Y58" s="910"/>
      <c r="Z58" s="761"/>
      <c r="AA58" s="764"/>
      <c r="AB58" s="761"/>
      <c r="AC58" s="761"/>
      <c r="AD58" s="761"/>
    </row>
    <row r="59" spans="1:30" ht="36" customHeight="1">
      <c r="A59" s="760"/>
      <c r="B59" s="814">
        <v>42</v>
      </c>
      <c r="C59" s="758">
        <v>3</v>
      </c>
      <c r="D59" s="878" t="s">
        <v>2011</v>
      </c>
      <c r="E59" s="758" t="s">
        <v>2011</v>
      </c>
      <c r="F59" s="758" t="s">
        <v>2011</v>
      </c>
      <c r="G59" s="758"/>
      <c r="H59" s="806"/>
      <c r="I59" s="914" t="str">
        <f t="shared" si="7"/>
        <v>5</v>
      </c>
      <c r="J59" s="914" t="str">
        <f t="shared" si="8"/>
        <v>Валовая прибыль (убытки) от продажи товаров и услуг по регулируемым видам деятельности в сфере водоотведения</v>
      </c>
      <c r="K59" s="914">
        <f t="shared" si="9"/>
        <v>0</v>
      </c>
      <c r="L59" s="759" t="str">
        <f t="shared" si="10"/>
        <v>5</v>
      </c>
      <c r="M59" s="759" t="str">
        <f t="shared" si="11"/>
        <v>Валовая прибыль (убытки) от продажи товаров и услуг по регулируемым видам деятельности в сфере водоотведения</v>
      </c>
      <c r="N59" s="759" t="str">
        <f t="shared" si="12"/>
        <v/>
      </c>
      <c r="O59" s="868"/>
      <c r="P59" s="868" t="s">
        <v>93</v>
      </c>
      <c r="Q59" s="868" t="s">
        <v>93</v>
      </c>
      <c r="R59" s="868" t="s">
        <v>93</v>
      </c>
      <c r="S59" s="868"/>
      <c r="T59" s="758"/>
      <c r="U59" s="758" t="s">
        <v>2027</v>
      </c>
      <c r="V59" s="758" t="s">
        <v>2028</v>
      </c>
      <c r="W59" s="758" t="s">
        <v>2029</v>
      </c>
      <c r="X59" s="758"/>
      <c r="Y59" s="910"/>
      <c r="Z59" s="761"/>
      <c r="AA59" s="764"/>
      <c r="AB59" s="761"/>
      <c r="AC59" s="761"/>
      <c r="AD59" s="761"/>
    </row>
    <row r="60" spans="1:30" ht="81" customHeight="1">
      <c r="A60" s="760"/>
      <c r="B60" s="814">
        <v>43</v>
      </c>
      <c r="C60" s="758" t="s">
        <v>2030</v>
      </c>
      <c r="D60" s="878" t="s">
        <v>2030</v>
      </c>
      <c r="E60" s="758" t="s">
        <v>2030</v>
      </c>
      <c r="F60" s="758" t="s">
        <v>2030</v>
      </c>
      <c r="G60" s="758"/>
      <c r="H60" s="806"/>
      <c r="I60" s="914" t="str">
        <f t="shared" si="7"/>
        <v>6</v>
      </c>
      <c r="J60" s="914" t="str">
        <f t="shared" si="8"/>
        <v>Годовая бухгалтерская (финансовая) отчетность, включая бухгалтерский баланс и приложения к нему</v>
      </c>
      <c r="K60" s="914"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59" t="str">
        <f t="shared" si="10"/>
        <v>6</v>
      </c>
      <c r="M60" s="759" t="str">
        <f t="shared" si="11"/>
        <v>Годовая бухгалтерская (финансовая) отчетность, включая бухгалтерский баланс и приложения к нему</v>
      </c>
      <c r="N60" s="759"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68" t="s">
        <v>77</v>
      </c>
      <c r="P60" s="868" t="s">
        <v>77</v>
      </c>
      <c r="Q60" s="868" t="s">
        <v>77</v>
      </c>
      <c r="R60" s="868" t="s">
        <v>77</v>
      </c>
      <c r="S60" s="868"/>
      <c r="T60" s="758" t="s">
        <v>641</v>
      </c>
      <c r="U60" s="758" t="s">
        <v>641</v>
      </c>
      <c r="V60" s="758" t="s">
        <v>641</v>
      </c>
      <c r="W60" s="758" t="s">
        <v>641</v>
      </c>
      <c r="X60" s="758"/>
      <c r="Y60" s="910"/>
      <c r="Z60" s="761" t="s">
        <v>2031</v>
      </c>
      <c r="AA60" s="764" t="s">
        <v>2032</v>
      </c>
      <c r="AB60" s="761" t="s">
        <v>2033</v>
      </c>
      <c r="AC60" s="761" t="s">
        <v>2032</v>
      </c>
      <c r="AD60" s="761"/>
    </row>
    <row r="61" spans="1:30" ht="9" customHeight="1">
      <c r="A61" s="760"/>
      <c r="B61" s="814">
        <v>44</v>
      </c>
      <c r="C61" s="758"/>
      <c r="D61" s="878" t="s">
        <v>2034</v>
      </c>
      <c r="E61" s="758"/>
      <c r="F61" s="758"/>
      <c r="G61" s="758"/>
      <c r="H61" s="806"/>
      <c r="I61" s="914">
        <f t="shared" si="7"/>
        <v>0</v>
      </c>
      <c r="J61" s="914">
        <f t="shared" si="8"/>
        <v>0</v>
      </c>
      <c r="K61" s="914">
        <f t="shared" si="9"/>
        <v>0</v>
      </c>
      <c r="L61" s="759" t="str">
        <f t="shared" si="10"/>
        <v/>
      </c>
      <c r="M61" s="759" t="str">
        <f t="shared" si="11"/>
        <v/>
      </c>
      <c r="N61" s="759" t="str">
        <f t="shared" si="12"/>
        <v/>
      </c>
      <c r="O61" s="868"/>
      <c r="P61" s="868" t="s">
        <v>78</v>
      </c>
      <c r="Q61" s="868"/>
      <c r="R61" s="868"/>
      <c r="S61" s="868"/>
      <c r="T61" s="758"/>
      <c r="U61" s="758" t="s">
        <v>2035</v>
      </c>
      <c r="V61" s="758"/>
      <c r="W61" s="758"/>
      <c r="X61" s="758"/>
      <c r="Y61" s="910"/>
      <c r="Z61" s="761"/>
      <c r="AA61" s="764"/>
      <c r="AB61" s="761"/>
      <c r="AC61" s="761"/>
      <c r="AD61" s="761"/>
    </row>
    <row r="62" spans="1:30" ht="9" customHeight="1">
      <c r="A62" s="760"/>
      <c r="B62" s="814">
        <v>45</v>
      </c>
      <c r="C62" s="758"/>
      <c r="D62" s="878" t="s">
        <v>2036</v>
      </c>
      <c r="E62" s="758"/>
      <c r="F62" s="758"/>
      <c r="G62" s="758"/>
      <c r="H62" s="806"/>
      <c r="I62" s="914">
        <f t="shared" si="7"/>
        <v>0</v>
      </c>
      <c r="J62" s="914">
        <f t="shared" si="8"/>
        <v>0</v>
      </c>
      <c r="K62" s="914">
        <f t="shared" si="9"/>
        <v>0</v>
      </c>
      <c r="L62" s="759" t="str">
        <f t="shared" si="10"/>
        <v/>
      </c>
      <c r="M62" s="759" t="str">
        <f t="shared" si="11"/>
        <v/>
      </c>
      <c r="N62" s="759" t="str">
        <f t="shared" si="12"/>
        <v/>
      </c>
      <c r="O62" s="868"/>
      <c r="P62" s="868" t="s">
        <v>94</v>
      </c>
      <c r="Q62" s="868"/>
      <c r="R62" s="868"/>
      <c r="S62" s="868"/>
      <c r="T62" s="758"/>
      <c r="U62" s="758" t="s">
        <v>2037</v>
      </c>
      <c r="V62" s="758"/>
      <c r="W62" s="758"/>
      <c r="X62" s="758"/>
      <c r="Y62" s="910"/>
      <c r="Z62" s="761"/>
      <c r="AA62" s="764"/>
      <c r="AB62" s="761"/>
      <c r="AC62" s="761"/>
      <c r="AD62" s="761"/>
    </row>
    <row r="63" spans="1:30" ht="18" customHeight="1">
      <c r="A63" s="760"/>
      <c r="B63" s="814">
        <v>46</v>
      </c>
      <c r="C63" s="758"/>
      <c r="D63" s="878" t="s">
        <v>2038</v>
      </c>
      <c r="E63" s="758"/>
      <c r="F63" s="758"/>
      <c r="G63" s="758"/>
      <c r="H63" s="806"/>
      <c r="I63" s="914">
        <f t="shared" si="7"/>
        <v>0</v>
      </c>
      <c r="J63" s="914">
        <f t="shared" si="8"/>
        <v>0</v>
      </c>
      <c r="K63" s="914">
        <f t="shared" si="9"/>
        <v>0</v>
      </c>
      <c r="L63" s="759" t="str">
        <f t="shared" si="10"/>
        <v/>
      </c>
      <c r="M63" s="759" t="str">
        <f t="shared" si="11"/>
        <v/>
      </c>
      <c r="N63" s="759" t="str">
        <f t="shared" si="12"/>
        <v/>
      </c>
      <c r="O63" s="868"/>
      <c r="P63" s="868" t="s">
        <v>130</v>
      </c>
      <c r="Q63" s="868"/>
      <c r="R63" s="868"/>
      <c r="S63" s="868"/>
      <c r="T63" s="758"/>
      <c r="U63" s="758" t="s">
        <v>2039</v>
      </c>
      <c r="V63" s="758"/>
      <c r="W63" s="758"/>
      <c r="X63" s="758"/>
      <c r="Y63" s="910"/>
      <c r="Z63" s="761"/>
      <c r="AA63" s="764"/>
      <c r="AB63" s="761"/>
      <c r="AC63" s="761"/>
      <c r="AD63" s="761"/>
    </row>
    <row r="64" spans="1:30" ht="18" customHeight="1">
      <c r="A64" s="760"/>
      <c r="B64" s="814">
        <v>47</v>
      </c>
      <c r="C64" s="758"/>
      <c r="D64" s="878" t="s">
        <v>2040</v>
      </c>
      <c r="E64" s="758"/>
      <c r="F64" s="758"/>
      <c r="G64" s="758"/>
      <c r="H64" s="806"/>
      <c r="I64" s="914">
        <f t="shared" si="7"/>
        <v>0</v>
      </c>
      <c r="J64" s="914">
        <f t="shared" si="8"/>
        <v>0</v>
      </c>
      <c r="K64" s="914">
        <f t="shared" si="9"/>
        <v>0</v>
      </c>
      <c r="L64" s="759" t="str">
        <f t="shared" si="10"/>
        <v/>
      </c>
      <c r="M64" s="759" t="str">
        <f t="shared" si="11"/>
        <v/>
      </c>
      <c r="N64" s="759" t="str">
        <f t="shared" si="12"/>
        <v/>
      </c>
      <c r="O64" s="868"/>
      <c r="P64" s="868" t="s">
        <v>131</v>
      </c>
      <c r="Q64" s="868"/>
      <c r="R64" s="868"/>
      <c r="S64" s="868"/>
      <c r="T64" s="758"/>
      <c r="U64" s="758" t="s">
        <v>2041</v>
      </c>
      <c r="V64" s="758"/>
      <c r="W64" s="758"/>
      <c r="X64" s="758"/>
      <c r="Y64" s="910"/>
      <c r="Z64" s="761"/>
      <c r="AA64" s="764" t="s">
        <v>2042</v>
      </c>
      <c r="AB64" s="761"/>
      <c r="AC64" s="761"/>
      <c r="AD64" s="761"/>
    </row>
    <row r="65" spans="1:30" ht="18" customHeight="1">
      <c r="A65" s="760"/>
      <c r="B65" s="814">
        <v>48</v>
      </c>
      <c r="C65" s="758"/>
      <c r="D65" s="878"/>
      <c r="E65" s="758"/>
      <c r="F65" s="758"/>
      <c r="G65" s="758"/>
      <c r="H65" s="806"/>
      <c r="I65" s="914">
        <f t="shared" si="7"/>
        <v>0</v>
      </c>
      <c r="J65" s="914">
        <f t="shared" si="8"/>
        <v>0</v>
      </c>
      <c r="K65" s="914">
        <f t="shared" si="9"/>
        <v>0</v>
      </c>
      <c r="L65" s="759" t="str">
        <f t="shared" si="10"/>
        <v/>
      </c>
      <c r="M65" s="759" t="str">
        <f t="shared" si="11"/>
        <v/>
      </c>
      <c r="N65" s="759" t="str">
        <f t="shared" si="12"/>
        <v/>
      </c>
      <c r="O65" s="868"/>
      <c r="P65" s="868" t="s">
        <v>1952</v>
      </c>
      <c r="Q65" s="868"/>
      <c r="R65" s="868"/>
      <c r="S65" s="868"/>
      <c r="T65" s="758"/>
      <c r="U65" s="758" t="s">
        <v>2043</v>
      </c>
      <c r="V65" s="758"/>
      <c r="W65" s="758"/>
      <c r="X65" s="758"/>
      <c r="Y65" s="910"/>
      <c r="Z65" s="761"/>
      <c r="AA65" s="764"/>
      <c r="AB65" s="761"/>
      <c r="AC65" s="761"/>
      <c r="AD65" s="761"/>
    </row>
    <row r="66" spans="1:30" ht="18" customHeight="1">
      <c r="A66" s="760"/>
      <c r="B66" s="814">
        <v>49</v>
      </c>
      <c r="C66" s="758"/>
      <c r="D66" s="878"/>
      <c r="E66" s="758"/>
      <c r="F66" s="758"/>
      <c r="G66" s="758"/>
      <c r="H66" s="806"/>
      <c r="I66" s="914">
        <f t="shared" si="7"/>
        <v>0</v>
      </c>
      <c r="J66" s="914">
        <f t="shared" si="8"/>
        <v>0</v>
      </c>
      <c r="K66" s="914">
        <f t="shared" si="9"/>
        <v>0</v>
      </c>
      <c r="L66" s="759" t="str">
        <f t="shared" si="10"/>
        <v/>
      </c>
      <c r="M66" s="759" t="str">
        <f t="shared" si="11"/>
        <v/>
      </c>
      <c r="N66" s="759" t="str">
        <f t="shared" si="12"/>
        <v/>
      </c>
      <c r="O66" s="868"/>
      <c r="P66" s="868" t="s">
        <v>1956</v>
      </c>
      <c r="Q66" s="868"/>
      <c r="R66" s="868"/>
      <c r="S66" s="868"/>
      <c r="T66" s="758"/>
      <c r="U66" s="758" t="s">
        <v>2044</v>
      </c>
      <c r="V66" s="758"/>
      <c r="W66" s="758"/>
      <c r="X66" s="758"/>
      <c r="Y66" s="910"/>
      <c r="Z66" s="761"/>
      <c r="AA66" s="764"/>
      <c r="AB66" s="761"/>
      <c r="AC66" s="761"/>
      <c r="AD66" s="761"/>
    </row>
    <row r="67" spans="1:30" ht="27" customHeight="1">
      <c r="A67" s="760"/>
      <c r="B67" s="814">
        <v>50</v>
      </c>
      <c r="C67" s="758"/>
      <c r="D67" s="878"/>
      <c r="E67" s="758"/>
      <c r="F67" s="758"/>
      <c r="G67" s="758"/>
      <c r="H67" s="806"/>
      <c r="I67" s="914">
        <f t="shared" si="7"/>
        <v>0</v>
      </c>
      <c r="J67" s="914">
        <f t="shared" si="8"/>
        <v>0</v>
      </c>
      <c r="K67" s="914">
        <f t="shared" si="9"/>
        <v>0</v>
      </c>
      <c r="L67" s="759" t="str">
        <f t="shared" si="10"/>
        <v/>
      </c>
      <c r="M67" s="759" t="str">
        <f t="shared" si="11"/>
        <v/>
      </c>
      <c r="N67" s="759" t="str">
        <f t="shared" si="12"/>
        <v/>
      </c>
      <c r="O67" s="868"/>
      <c r="P67" s="868" t="s">
        <v>2045</v>
      </c>
      <c r="Q67" s="868"/>
      <c r="R67" s="868"/>
      <c r="S67" s="868"/>
      <c r="T67" s="758"/>
      <c r="U67" s="758" t="s">
        <v>2046</v>
      </c>
      <c r="V67" s="758"/>
      <c r="W67" s="758"/>
      <c r="X67" s="758"/>
      <c r="Y67" s="910"/>
      <c r="Z67" s="761"/>
      <c r="AA67" s="764"/>
      <c r="AB67" s="761"/>
      <c r="AC67" s="761"/>
      <c r="AD67" s="761"/>
    </row>
    <row r="68" spans="1:30" ht="27" customHeight="1">
      <c r="A68" s="760"/>
      <c r="B68" s="814">
        <v>51</v>
      </c>
      <c r="C68" s="758"/>
      <c r="D68" s="878"/>
      <c r="E68" s="758"/>
      <c r="F68" s="758"/>
      <c r="G68" s="758"/>
      <c r="H68" s="806"/>
      <c r="I68" s="914">
        <f t="shared" si="7"/>
        <v>0</v>
      </c>
      <c r="J68" s="914">
        <f t="shared" si="8"/>
        <v>0</v>
      </c>
      <c r="K68" s="914">
        <f t="shared" si="9"/>
        <v>0</v>
      </c>
      <c r="L68" s="759" t="str">
        <f t="shared" si="10"/>
        <v/>
      </c>
      <c r="M68" s="759" t="str">
        <f t="shared" si="11"/>
        <v/>
      </c>
      <c r="N68" s="759" t="str">
        <f t="shared" si="12"/>
        <v/>
      </c>
      <c r="O68" s="868"/>
      <c r="P68" s="868" t="s">
        <v>2047</v>
      </c>
      <c r="Q68" s="868"/>
      <c r="R68" s="868"/>
      <c r="S68" s="868"/>
      <c r="T68" s="758"/>
      <c r="U68" s="758" t="s">
        <v>2048</v>
      </c>
      <c r="V68" s="758"/>
      <c r="W68" s="758"/>
      <c r="X68" s="758"/>
      <c r="Y68" s="910"/>
      <c r="Z68" s="761"/>
      <c r="AA68" s="764"/>
      <c r="AB68" s="761"/>
      <c r="AC68" s="761"/>
      <c r="AD68" s="761"/>
    </row>
    <row r="69" spans="1:30" ht="9" customHeight="1">
      <c r="A69" s="760"/>
      <c r="B69" s="814">
        <v>52</v>
      </c>
      <c r="C69" s="758"/>
      <c r="D69" s="878" t="s">
        <v>2049</v>
      </c>
      <c r="E69" s="758"/>
      <c r="F69" s="758"/>
      <c r="G69" s="758"/>
      <c r="H69" s="806"/>
      <c r="I69" s="914">
        <f t="shared" si="7"/>
        <v>0</v>
      </c>
      <c r="J69" s="914">
        <f t="shared" si="8"/>
        <v>0</v>
      </c>
      <c r="K69" s="914">
        <f t="shared" si="9"/>
        <v>0</v>
      </c>
      <c r="L69" s="759" t="str">
        <f t="shared" si="10"/>
        <v/>
      </c>
      <c r="M69" s="759" t="str">
        <f t="shared" si="11"/>
        <v/>
      </c>
      <c r="N69" s="759" t="str">
        <f t="shared" si="12"/>
        <v/>
      </c>
      <c r="O69" s="868"/>
      <c r="P69" s="868" t="s">
        <v>132</v>
      </c>
      <c r="Q69" s="868"/>
      <c r="R69" s="868"/>
      <c r="S69" s="868"/>
      <c r="T69" s="758"/>
      <c r="U69" s="758" t="s">
        <v>2050</v>
      </c>
      <c r="V69" s="758"/>
      <c r="W69" s="758"/>
      <c r="X69" s="758"/>
      <c r="Y69" s="910"/>
      <c r="Z69" s="761"/>
      <c r="AA69" s="764"/>
      <c r="AB69" s="761"/>
      <c r="AC69" s="761"/>
      <c r="AD69" s="761"/>
    </row>
    <row r="70" spans="1:30" ht="27" customHeight="1">
      <c r="A70" s="760"/>
      <c r="B70" s="814">
        <v>53</v>
      </c>
      <c r="C70" s="758"/>
      <c r="D70" s="878"/>
      <c r="E70" s="758" t="s">
        <v>2034</v>
      </c>
      <c r="F70" s="758"/>
      <c r="G70" s="758"/>
      <c r="H70" s="806"/>
      <c r="I70" s="914">
        <f t="shared" si="7"/>
        <v>0</v>
      </c>
      <c r="J70" s="914">
        <f t="shared" si="8"/>
        <v>0</v>
      </c>
      <c r="K70" s="914">
        <f t="shared" si="9"/>
        <v>0</v>
      </c>
      <c r="L70" s="759" t="str">
        <f t="shared" si="10"/>
        <v/>
      </c>
      <c r="M70" s="759" t="str">
        <f t="shared" si="11"/>
        <v/>
      </c>
      <c r="N70" s="759" t="str">
        <f t="shared" si="12"/>
        <v/>
      </c>
      <c r="O70" s="868"/>
      <c r="P70" s="868"/>
      <c r="Q70" s="868" t="s">
        <v>78</v>
      </c>
      <c r="R70" s="868"/>
      <c r="S70" s="868"/>
      <c r="T70" s="758"/>
      <c r="U70" s="758"/>
      <c r="V70" s="758" t="s">
        <v>2051</v>
      </c>
      <c r="W70" s="758"/>
      <c r="X70" s="758"/>
      <c r="Y70" s="910"/>
      <c r="Z70" s="761"/>
      <c r="AA70" s="764"/>
      <c r="AB70" s="761"/>
      <c r="AC70" s="761"/>
      <c r="AD70" s="761"/>
    </row>
    <row r="71" spans="1:30" ht="36" customHeight="1">
      <c r="A71" s="760"/>
      <c r="B71" s="814">
        <v>54</v>
      </c>
      <c r="C71" s="758"/>
      <c r="D71" s="878"/>
      <c r="E71" s="758" t="s">
        <v>2036</v>
      </c>
      <c r="F71" s="758"/>
      <c r="G71" s="758"/>
      <c r="H71" s="806"/>
      <c r="I71" s="914">
        <f t="shared" si="7"/>
        <v>0</v>
      </c>
      <c r="J71" s="914">
        <f t="shared" si="8"/>
        <v>0</v>
      </c>
      <c r="K71" s="914">
        <f t="shared" si="9"/>
        <v>0</v>
      </c>
      <c r="L71" s="759" t="str">
        <f t="shared" si="10"/>
        <v/>
      </c>
      <c r="M71" s="759" t="str">
        <f t="shared" si="11"/>
        <v/>
      </c>
      <c r="N71" s="759" t="str">
        <f t="shared" si="12"/>
        <v/>
      </c>
      <c r="O71" s="868"/>
      <c r="P71" s="868"/>
      <c r="Q71" s="868" t="s">
        <v>94</v>
      </c>
      <c r="R71" s="868"/>
      <c r="S71" s="868"/>
      <c r="T71" s="758"/>
      <c r="U71" s="758"/>
      <c r="V71" s="758" t="s">
        <v>2052</v>
      </c>
      <c r="W71" s="758"/>
      <c r="X71" s="758"/>
      <c r="Y71" s="910"/>
      <c r="Z71" s="761"/>
      <c r="AA71" s="764"/>
      <c r="AB71" s="761"/>
      <c r="AC71" s="761"/>
      <c r="AD71" s="761"/>
    </row>
    <row r="72" spans="1:30" ht="27" customHeight="1">
      <c r="A72" s="760"/>
      <c r="B72" s="814">
        <v>55</v>
      </c>
      <c r="C72" s="758"/>
      <c r="D72" s="878"/>
      <c r="E72" s="758" t="s">
        <v>2038</v>
      </c>
      <c r="F72" s="758"/>
      <c r="G72" s="758"/>
      <c r="H72" s="806"/>
      <c r="I72" s="914">
        <f t="shared" si="7"/>
        <v>0</v>
      </c>
      <c r="J72" s="914">
        <f t="shared" si="8"/>
        <v>0</v>
      </c>
      <c r="K72" s="914">
        <f t="shared" si="9"/>
        <v>0</v>
      </c>
      <c r="L72" s="759" t="str">
        <f t="shared" si="10"/>
        <v/>
      </c>
      <c r="M72" s="759" t="str">
        <f t="shared" si="11"/>
        <v/>
      </c>
      <c r="N72" s="759" t="str">
        <f t="shared" si="12"/>
        <v/>
      </c>
      <c r="O72" s="868"/>
      <c r="P72" s="868"/>
      <c r="Q72" s="868" t="s">
        <v>130</v>
      </c>
      <c r="R72" s="868"/>
      <c r="S72" s="868"/>
      <c r="T72" s="758"/>
      <c r="U72" s="758"/>
      <c r="V72" s="758" t="s">
        <v>2053</v>
      </c>
      <c r="W72" s="758"/>
      <c r="X72" s="758"/>
      <c r="Y72" s="910"/>
      <c r="Z72" s="761"/>
      <c r="AA72" s="764"/>
      <c r="AB72" s="761"/>
      <c r="AC72" s="761"/>
      <c r="AD72" s="761"/>
    </row>
    <row r="73" spans="1:30" ht="36" customHeight="1">
      <c r="A73" s="760"/>
      <c r="B73" s="814">
        <v>56</v>
      </c>
      <c r="C73" s="758"/>
      <c r="D73" s="878"/>
      <c r="E73" s="758" t="s">
        <v>2040</v>
      </c>
      <c r="F73" s="758"/>
      <c r="G73" s="758"/>
      <c r="H73" s="806"/>
      <c r="I73" s="914">
        <f t="shared" si="7"/>
        <v>0</v>
      </c>
      <c r="J73" s="914">
        <f t="shared" si="8"/>
        <v>0</v>
      </c>
      <c r="K73" s="914">
        <f t="shared" si="9"/>
        <v>0</v>
      </c>
      <c r="L73" s="759" t="str">
        <f t="shared" si="10"/>
        <v/>
      </c>
      <c r="M73" s="759" t="str">
        <f t="shared" si="11"/>
        <v/>
      </c>
      <c r="N73" s="759" t="str">
        <f t="shared" si="12"/>
        <v/>
      </c>
      <c r="O73" s="868"/>
      <c r="P73" s="868"/>
      <c r="Q73" s="868" t="s">
        <v>131</v>
      </c>
      <c r="R73" s="868"/>
      <c r="S73" s="868"/>
      <c r="T73" s="758"/>
      <c r="U73" s="758"/>
      <c r="V73" s="758" t="s">
        <v>2054</v>
      </c>
      <c r="W73" s="758"/>
      <c r="X73" s="758"/>
      <c r="Y73" s="910"/>
      <c r="Z73" s="761"/>
      <c r="AA73" s="764"/>
      <c r="AB73" s="761"/>
      <c r="AC73" s="761"/>
      <c r="AD73" s="761"/>
    </row>
    <row r="74" spans="1:30" ht="18" customHeight="1">
      <c r="A74" s="760"/>
      <c r="B74" s="814">
        <v>57</v>
      </c>
      <c r="C74" s="758"/>
      <c r="D74" s="878"/>
      <c r="E74" s="758" t="s">
        <v>2049</v>
      </c>
      <c r="F74" s="758"/>
      <c r="G74" s="758"/>
      <c r="H74" s="806"/>
      <c r="I74" s="914">
        <f t="shared" si="7"/>
        <v>0</v>
      </c>
      <c r="J74" s="914">
        <f t="shared" si="8"/>
        <v>0</v>
      </c>
      <c r="K74" s="914">
        <f t="shared" si="9"/>
        <v>0</v>
      </c>
      <c r="L74" s="759" t="str">
        <f t="shared" si="10"/>
        <v/>
      </c>
      <c r="M74" s="759" t="str">
        <f t="shared" si="11"/>
        <v/>
      </c>
      <c r="N74" s="759" t="str">
        <f t="shared" si="12"/>
        <v/>
      </c>
      <c r="O74" s="868"/>
      <c r="P74" s="868"/>
      <c r="Q74" s="868" t="s">
        <v>132</v>
      </c>
      <c r="R74" s="868"/>
      <c r="S74" s="868"/>
      <c r="T74" s="758"/>
      <c r="U74" s="758"/>
      <c r="V74" s="758" t="s">
        <v>2055</v>
      </c>
      <c r="W74" s="758"/>
      <c r="X74" s="758"/>
      <c r="Y74" s="910"/>
      <c r="Z74" s="761"/>
      <c r="AA74" s="764"/>
      <c r="AB74" s="761"/>
      <c r="AC74" s="761"/>
      <c r="AD74" s="761"/>
    </row>
    <row r="75" spans="1:30" ht="18" customHeight="1">
      <c r="A75" s="760"/>
      <c r="B75" s="814">
        <v>58</v>
      </c>
      <c r="C75" s="758"/>
      <c r="D75" s="878"/>
      <c r="E75" s="758"/>
      <c r="F75" s="758" t="s">
        <v>2034</v>
      </c>
      <c r="G75" s="758"/>
      <c r="H75" s="806"/>
      <c r="I75" s="914" t="str">
        <f t="shared" si="7"/>
        <v>7</v>
      </c>
      <c r="J75" s="914" t="str">
        <f t="shared" si="8"/>
        <v>Объём сточных вод, принятых от потребителей</v>
      </c>
      <c r="K75" s="914">
        <f t="shared" si="9"/>
        <v>0</v>
      </c>
      <c r="L75" s="759" t="str">
        <f t="shared" si="10"/>
        <v>7</v>
      </c>
      <c r="M75" s="759" t="str">
        <f t="shared" si="11"/>
        <v>Объём сточных вод, принятых от потребителей</v>
      </c>
      <c r="N75" s="759" t="str">
        <f t="shared" si="12"/>
        <v/>
      </c>
      <c r="O75" s="868"/>
      <c r="P75" s="868"/>
      <c r="Q75" s="868"/>
      <c r="R75" s="868" t="s">
        <v>78</v>
      </c>
      <c r="S75" s="868"/>
      <c r="T75" s="758"/>
      <c r="U75" s="758"/>
      <c r="V75" s="758"/>
      <c r="W75" s="758" t="s">
        <v>2056</v>
      </c>
      <c r="X75" s="758"/>
      <c r="Y75" s="910"/>
      <c r="Z75" s="761"/>
      <c r="AA75" s="764"/>
      <c r="AB75" s="761"/>
      <c r="AC75" s="761"/>
      <c r="AD75" s="761"/>
    </row>
    <row r="76" spans="1:30" ht="36" customHeight="1">
      <c r="A76" s="760"/>
      <c r="B76" s="814">
        <v>59</v>
      </c>
      <c r="C76" s="758"/>
      <c r="D76" s="878"/>
      <c r="E76" s="758"/>
      <c r="F76" s="758" t="s">
        <v>2036</v>
      </c>
      <c r="G76" s="758"/>
      <c r="H76" s="806"/>
      <c r="I76" s="914" t="str">
        <f t="shared" si="7"/>
        <v>8</v>
      </c>
      <c r="J76" s="914" t="str">
        <f t="shared" si="8"/>
        <v>Объём сточных вод, принятых от других регулируемых организаций, осуществляющих водоотведение и (или) очистку сточных вод</v>
      </c>
      <c r="K76" s="914">
        <f t="shared" si="9"/>
        <v>0</v>
      </c>
      <c r="L76" s="759" t="str">
        <f t="shared" si="10"/>
        <v>8</v>
      </c>
      <c r="M76" s="759" t="str">
        <f t="shared" si="11"/>
        <v>Объём сточных вод, принятых от других регулируемых организаций, осуществляющих водоотведение и (или) очистку сточных вод</v>
      </c>
      <c r="N76" s="759" t="str">
        <f t="shared" si="12"/>
        <v/>
      </c>
      <c r="O76" s="868"/>
      <c r="P76" s="868"/>
      <c r="Q76" s="868"/>
      <c r="R76" s="868" t="s">
        <v>94</v>
      </c>
      <c r="S76" s="868"/>
      <c r="T76" s="758"/>
      <c r="U76" s="758"/>
      <c r="V76" s="758"/>
      <c r="W76" s="758" t="s">
        <v>2057</v>
      </c>
      <c r="X76" s="758"/>
      <c r="Y76" s="910"/>
      <c r="Z76" s="761"/>
      <c r="AA76" s="764"/>
      <c r="AB76" s="761"/>
      <c r="AC76" s="761"/>
      <c r="AD76" s="761"/>
    </row>
    <row r="77" spans="1:30" ht="18" customHeight="1">
      <c r="A77" s="760"/>
      <c r="B77" s="814">
        <v>60</v>
      </c>
      <c r="C77" s="758"/>
      <c r="D77" s="878"/>
      <c r="E77" s="758"/>
      <c r="F77" s="758" t="s">
        <v>2038</v>
      </c>
      <c r="G77" s="758"/>
      <c r="H77" s="806"/>
      <c r="I77" s="914" t="str">
        <f t="shared" si="7"/>
        <v>9</v>
      </c>
      <c r="J77" s="914" t="str">
        <f t="shared" si="8"/>
        <v>Объём сточных вод, пропущенных через очистные сооружения</v>
      </c>
      <c r="K77" s="914">
        <f t="shared" si="9"/>
        <v>0</v>
      </c>
      <c r="L77" s="759" t="str">
        <f t="shared" si="10"/>
        <v>9</v>
      </c>
      <c r="M77" s="759" t="str">
        <f t="shared" si="11"/>
        <v>Объём сточных вод, пропущенных через очистные сооружения</v>
      </c>
      <c r="N77" s="759" t="str">
        <f t="shared" si="12"/>
        <v/>
      </c>
      <c r="O77" s="868"/>
      <c r="P77" s="868"/>
      <c r="Q77" s="868"/>
      <c r="R77" s="868" t="s">
        <v>130</v>
      </c>
      <c r="S77" s="868"/>
      <c r="T77" s="758"/>
      <c r="U77" s="758"/>
      <c r="V77" s="758"/>
      <c r="W77" s="758" t="s">
        <v>2058</v>
      </c>
      <c r="X77" s="758"/>
      <c r="Y77" s="910"/>
      <c r="Z77" s="761"/>
      <c r="AA77" s="764"/>
      <c r="AB77" s="761"/>
      <c r="AC77" s="761"/>
      <c r="AD77" s="761"/>
    </row>
    <row r="78" spans="1:30" ht="72" customHeight="1">
      <c r="A78" s="760"/>
      <c r="B78" s="814">
        <v>61</v>
      </c>
      <c r="C78" s="758" t="s">
        <v>2034</v>
      </c>
      <c r="D78" s="878"/>
      <c r="E78" s="758"/>
      <c r="F78" s="758"/>
      <c r="G78" s="758"/>
      <c r="H78" s="806"/>
      <c r="I78" s="914">
        <f t="shared" si="7"/>
        <v>0</v>
      </c>
      <c r="J78" s="914">
        <f t="shared" si="8"/>
        <v>0</v>
      </c>
      <c r="K78" s="914">
        <f t="shared" si="9"/>
        <v>0</v>
      </c>
      <c r="L78" s="759" t="str">
        <f t="shared" si="10"/>
        <v/>
      </c>
      <c r="M78" s="759" t="str">
        <f t="shared" si="11"/>
        <v/>
      </c>
      <c r="N78" s="759" t="str">
        <f t="shared" si="12"/>
        <v/>
      </c>
      <c r="O78" s="868" t="s">
        <v>78</v>
      </c>
      <c r="P78" s="868"/>
      <c r="Q78" s="868"/>
      <c r="R78" s="868"/>
      <c r="S78" s="868"/>
      <c r="T78" s="758" t="s">
        <v>2059</v>
      </c>
      <c r="U78" s="758"/>
      <c r="V78" s="758"/>
      <c r="W78" s="758"/>
      <c r="X78" s="758"/>
      <c r="Y78" s="910"/>
      <c r="Z78" s="761" t="s">
        <v>2060</v>
      </c>
      <c r="AA78" s="764"/>
      <c r="AB78" s="761"/>
      <c r="AC78" s="761"/>
      <c r="AD78" s="761"/>
    </row>
    <row r="79" spans="1:30" ht="36" customHeight="1">
      <c r="A79" s="760"/>
      <c r="B79" s="814">
        <v>62</v>
      </c>
      <c r="C79" s="758" t="s">
        <v>2036</v>
      </c>
      <c r="D79" s="878"/>
      <c r="E79" s="758"/>
      <c r="F79" s="758"/>
      <c r="G79" s="758"/>
      <c r="H79" s="806"/>
      <c r="I79" s="914">
        <f t="shared" si="7"/>
        <v>0</v>
      </c>
      <c r="J79" s="914">
        <f t="shared" si="8"/>
        <v>0</v>
      </c>
      <c r="K79" s="914">
        <f t="shared" si="9"/>
        <v>0</v>
      </c>
      <c r="L79" s="759" t="str">
        <f t="shared" si="10"/>
        <v/>
      </c>
      <c r="M79" s="759" t="str">
        <f t="shared" si="11"/>
        <v/>
      </c>
      <c r="N79" s="759" t="str">
        <f t="shared" si="12"/>
        <v/>
      </c>
      <c r="O79" s="868" t="s">
        <v>94</v>
      </c>
      <c r="P79" s="868"/>
      <c r="Q79" s="868"/>
      <c r="R79" s="868"/>
      <c r="S79" s="868"/>
      <c r="T79" s="758" t="s">
        <v>2061</v>
      </c>
      <c r="U79" s="758"/>
      <c r="V79" s="758"/>
      <c r="W79" s="758"/>
      <c r="X79" s="758"/>
      <c r="Y79" s="910"/>
      <c r="Z79" s="761" t="s">
        <v>2062</v>
      </c>
      <c r="AA79" s="764"/>
      <c r="AB79" s="761"/>
      <c r="AC79" s="761"/>
      <c r="AD79" s="761"/>
    </row>
    <row r="80" spans="1:30" ht="45" customHeight="1">
      <c r="A80" s="760"/>
      <c r="B80" s="814">
        <v>63</v>
      </c>
      <c r="C80" s="758" t="s">
        <v>2038</v>
      </c>
      <c r="D80" s="878"/>
      <c r="E80" s="758"/>
      <c r="F80" s="758"/>
      <c r="G80" s="758"/>
      <c r="H80" s="806"/>
      <c r="I80" s="914">
        <f t="shared" si="7"/>
        <v>0</v>
      </c>
      <c r="J80" s="914">
        <f t="shared" si="8"/>
        <v>0</v>
      </c>
      <c r="K80" s="914">
        <f t="shared" si="9"/>
        <v>0</v>
      </c>
      <c r="L80" s="759" t="str">
        <f t="shared" si="10"/>
        <v/>
      </c>
      <c r="M80" s="759" t="str">
        <f t="shared" si="11"/>
        <v/>
      </c>
      <c r="N80" s="759" t="str">
        <f t="shared" si="12"/>
        <v/>
      </c>
      <c r="O80" s="868" t="s">
        <v>130</v>
      </c>
      <c r="P80" s="868"/>
      <c r="Q80" s="868"/>
      <c r="R80" s="868"/>
      <c r="S80" s="868"/>
      <c r="T80" s="758" t="s">
        <v>2063</v>
      </c>
      <c r="U80" s="758"/>
      <c r="V80" s="758"/>
      <c r="W80" s="758"/>
      <c r="X80" s="758"/>
      <c r="Y80" s="910"/>
      <c r="Z80" s="761" t="s">
        <v>2064</v>
      </c>
      <c r="AA80" s="764"/>
      <c r="AB80" s="761"/>
      <c r="AC80" s="761"/>
      <c r="AD80" s="761"/>
    </row>
    <row r="81" spans="1:30" ht="36" customHeight="1">
      <c r="A81" s="760"/>
      <c r="B81" s="814">
        <v>64</v>
      </c>
      <c r="C81" s="758" t="s">
        <v>2040</v>
      </c>
      <c r="D81" s="878"/>
      <c r="E81" s="758"/>
      <c r="F81" s="758"/>
      <c r="G81" s="758"/>
      <c r="H81" s="806"/>
      <c r="I81" s="914">
        <f t="shared" si="7"/>
        <v>0</v>
      </c>
      <c r="J81" s="914">
        <f t="shared" si="8"/>
        <v>0</v>
      </c>
      <c r="K81" s="914">
        <f t="shared" si="9"/>
        <v>0</v>
      </c>
      <c r="L81" s="759" t="str">
        <f t="shared" si="10"/>
        <v/>
      </c>
      <c r="M81" s="759" t="str">
        <f t="shared" si="11"/>
        <v/>
      </c>
      <c r="N81" s="759" t="str">
        <f t="shared" si="12"/>
        <v/>
      </c>
      <c r="O81" s="868" t="s">
        <v>1943</v>
      </c>
      <c r="P81" s="868"/>
      <c r="Q81" s="868"/>
      <c r="R81" s="868"/>
      <c r="S81" s="868"/>
      <c r="T81" s="758" t="s">
        <v>2065</v>
      </c>
      <c r="U81" s="758"/>
      <c r="V81" s="758"/>
      <c r="W81" s="758"/>
      <c r="X81" s="758"/>
      <c r="Y81" s="910"/>
      <c r="Z81" s="761" t="s">
        <v>2066</v>
      </c>
      <c r="AA81" s="764"/>
      <c r="AB81" s="761"/>
      <c r="AC81" s="761"/>
      <c r="AD81" s="761"/>
    </row>
    <row r="82" spans="1:30" ht="90" customHeight="1">
      <c r="A82" s="760"/>
      <c r="B82" s="814">
        <v>65</v>
      </c>
      <c r="C82" s="758" t="s">
        <v>2049</v>
      </c>
      <c r="D82" s="878"/>
      <c r="E82" s="758"/>
      <c r="F82" s="758"/>
      <c r="G82" s="758"/>
      <c r="H82" s="806"/>
      <c r="I82" s="914">
        <f t="shared" ref="I82:I101" si="13">INDEX(TEMPLATE_NUMBER_POINT_FHD,B82,MATCH(TEMPLATE_SPHERE,TEMPLATE_SPHERE_LIST_FOR_NOTE,0))</f>
        <v>0</v>
      </c>
      <c r="J82" s="914">
        <f t="shared" ref="J82:J101" si="14">INDEX(TEMPLATE_DATA_POINT_FHD,B82,MATCH(TEMPLATE_SPHERE,TEMPLATE_SPHERE_LIST_FOR_NOTE,0))</f>
        <v>0</v>
      </c>
      <c r="K82" s="914">
        <f t="shared" ref="K82:K101" si="15">INDEX(TEMPLATE_NOTE_POINT_FHD,B82,MATCH(TEMPLATE_SPHERE,TEMPLATE_SPHERE_LIST_FOR_NOTE,0))</f>
        <v>0</v>
      </c>
      <c r="L82" s="759" t="str">
        <f t="shared" ref="L82:L101" si="16">IF(I82=0,"",I82)</f>
        <v/>
      </c>
      <c r="M82" s="759" t="str">
        <f t="shared" ref="M82:M101" si="17">IF(J82=0,"",J82)</f>
        <v/>
      </c>
      <c r="N82" s="759" t="str">
        <f t="shared" ref="N82:N101" si="18">IF(K82=0,"",K82)</f>
        <v/>
      </c>
      <c r="O82" s="868" t="s">
        <v>131</v>
      </c>
      <c r="P82" s="868"/>
      <c r="Q82" s="868"/>
      <c r="R82" s="868"/>
      <c r="S82" s="868"/>
      <c r="T82" s="758" t="s">
        <v>2067</v>
      </c>
      <c r="U82" s="758"/>
      <c r="V82" s="758"/>
      <c r="W82" s="758"/>
      <c r="X82" s="758"/>
      <c r="Y82" s="910"/>
      <c r="Z82" s="761" t="s">
        <v>2068</v>
      </c>
      <c r="AA82" s="764"/>
      <c r="AB82" s="761"/>
      <c r="AC82" s="761"/>
      <c r="AD82" s="761"/>
    </row>
    <row r="83" spans="1:30" ht="9" customHeight="1">
      <c r="A83" s="760"/>
      <c r="B83" s="814">
        <v>66</v>
      </c>
      <c r="C83" s="758"/>
      <c r="D83" s="878"/>
      <c r="E83" s="758"/>
      <c r="F83" s="758"/>
      <c r="G83" s="758"/>
      <c r="H83" s="806"/>
      <c r="I83" s="914">
        <f t="shared" si="13"/>
        <v>0</v>
      </c>
      <c r="J83" s="914">
        <f t="shared" si="14"/>
        <v>0</v>
      </c>
      <c r="K83" s="914">
        <f t="shared" si="15"/>
        <v>0</v>
      </c>
      <c r="L83" s="759" t="str">
        <f t="shared" si="16"/>
        <v/>
      </c>
      <c r="M83" s="759" t="str">
        <f t="shared" si="17"/>
        <v/>
      </c>
      <c r="N83" s="759" t="str">
        <f t="shared" si="18"/>
        <v/>
      </c>
      <c r="O83" s="868" t="s">
        <v>1952</v>
      </c>
      <c r="P83" s="868"/>
      <c r="Q83" s="868"/>
      <c r="R83" s="868"/>
      <c r="S83" s="868"/>
      <c r="T83" s="758" t="s">
        <v>2069</v>
      </c>
      <c r="U83" s="758"/>
      <c r="V83" s="758"/>
      <c r="W83" s="758"/>
      <c r="X83" s="758"/>
      <c r="Y83" s="910"/>
      <c r="Z83" s="761"/>
      <c r="AA83" s="764"/>
      <c r="AB83" s="761"/>
      <c r="AC83" s="761"/>
      <c r="AD83" s="761"/>
    </row>
    <row r="84" spans="1:30" ht="54" customHeight="1">
      <c r="A84" s="760"/>
      <c r="B84" s="814">
        <v>67</v>
      </c>
      <c r="C84" s="758"/>
      <c r="D84" s="878"/>
      <c r="E84" s="758"/>
      <c r="F84" s="758"/>
      <c r="G84" s="758"/>
      <c r="H84" s="806"/>
      <c r="I84" s="914">
        <f t="shared" si="13"/>
        <v>0</v>
      </c>
      <c r="J84" s="914">
        <f t="shared" si="14"/>
        <v>0</v>
      </c>
      <c r="K84" s="914">
        <f t="shared" si="15"/>
        <v>0</v>
      </c>
      <c r="L84" s="759" t="str">
        <f t="shared" si="16"/>
        <v/>
      </c>
      <c r="M84" s="759" t="str">
        <f t="shared" si="17"/>
        <v/>
      </c>
      <c r="N84" s="759" t="str">
        <f t="shared" si="18"/>
        <v/>
      </c>
      <c r="O84" s="868" t="s">
        <v>2070</v>
      </c>
      <c r="P84" s="868"/>
      <c r="Q84" s="868"/>
      <c r="R84" s="868"/>
      <c r="S84" s="868"/>
      <c r="T84" s="758" t="s">
        <v>2071</v>
      </c>
      <c r="U84" s="758"/>
      <c r="V84" s="758"/>
      <c r="W84" s="758"/>
      <c r="X84" s="758"/>
      <c r="Y84" s="910"/>
      <c r="Z84" s="761"/>
      <c r="AA84" s="764"/>
      <c r="AB84" s="761"/>
      <c r="AC84" s="761"/>
      <c r="AD84" s="761"/>
    </row>
    <row r="85" spans="1:30" ht="9" customHeight="1">
      <c r="A85" s="760"/>
      <c r="B85" s="814">
        <v>68</v>
      </c>
      <c r="C85" s="758"/>
      <c r="D85" s="878"/>
      <c r="E85" s="758"/>
      <c r="F85" s="758"/>
      <c r="G85" s="758"/>
      <c r="H85" s="806"/>
      <c r="I85" s="914">
        <f t="shared" si="13"/>
        <v>0</v>
      </c>
      <c r="J85" s="914">
        <f t="shared" si="14"/>
        <v>0</v>
      </c>
      <c r="K85" s="914">
        <f t="shared" si="15"/>
        <v>0</v>
      </c>
      <c r="L85" s="759" t="str">
        <f t="shared" si="16"/>
        <v/>
      </c>
      <c r="M85" s="759" t="str">
        <f t="shared" si="17"/>
        <v/>
      </c>
      <c r="N85" s="759" t="str">
        <f t="shared" si="18"/>
        <v/>
      </c>
      <c r="O85" s="868" t="s">
        <v>1956</v>
      </c>
      <c r="P85" s="868"/>
      <c r="Q85" s="868"/>
      <c r="R85" s="868"/>
      <c r="S85" s="868"/>
      <c r="T85" s="758" t="s">
        <v>2072</v>
      </c>
      <c r="U85" s="758"/>
      <c r="V85" s="758"/>
      <c r="W85" s="758"/>
      <c r="X85" s="758"/>
      <c r="Y85" s="910"/>
      <c r="Z85" s="761"/>
      <c r="AA85" s="764"/>
      <c r="AB85" s="761"/>
      <c r="AC85" s="761"/>
      <c r="AD85" s="761"/>
    </row>
    <row r="86" spans="1:30" ht="27" customHeight="1">
      <c r="A86" s="760"/>
      <c r="B86" s="814">
        <v>69</v>
      </c>
      <c r="C86" s="758"/>
      <c r="D86" s="878"/>
      <c r="E86" s="758"/>
      <c r="F86" s="758"/>
      <c r="G86" s="758"/>
      <c r="H86" s="806"/>
      <c r="I86" s="914">
        <f t="shared" si="13"/>
        <v>0</v>
      </c>
      <c r="J86" s="914">
        <f t="shared" si="14"/>
        <v>0</v>
      </c>
      <c r="K86" s="914">
        <f t="shared" si="15"/>
        <v>0</v>
      </c>
      <c r="L86" s="759" t="str">
        <f t="shared" si="16"/>
        <v/>
      </c>
      <c r="M86" s="759" t="str">
        <f t="shared" si="17"/>
        <v/>
      </c>
      <c r="N86" s="759" t="str">
        <f t="shared" si="18"/>
        <v/>
      </c>
      <c r="O86" s="868" t="s">
        <v>2073</v>
      </c>
      <c r="P86" s="868"/>
      <c r="Q86" s="868"/>
      <c r="R86" s="868"/>
      <c r="S86" s="868"/>
      <c r="T86" s="758" t="s">
        <v>2074</v>
      </c>
      <c r="U86" s="758"/>
      <c r="V86" s="758"/>
      <c r="W86" s="758"/>
      <c r="X86" s="758"/>
      <c r="Y86" s="910"/>
      <c r="Z86" s="761"/>
      <c r="AA86" s="764"/>
      <c r="AB86" s="761"/>
      <c r="AC86" s="761"/>
      <c r="AD86" s="761"/>
    </row>
    <row r="87" spans="1:30" ht="36" customHeight="1">
      <c r="A87" s="760"/>
      <c r="B87" s="814">
        <v>70</v>
      </c>
      <c r="C87" s="758" t="s">
        <v>2075</v>
      </c>
      <c r="D87" s="878"/>
      <c r="E87" s="758"/>
      <c r="F87" s="758"/>
      <c r="G87" s="758"/>
      <c r="H87" s="806"/>
      <c r="I87" s="914">
        <f t="shared" si="13"/>
        <v>0</v>
      </c>
      <c r="J87" s="914">
        <f t="shared" si="14"/>
        <v>0</v>
      </c>
      <c r="K87" s="914">
        <f t="shared" si="15"/>
        <v>0</v>
      </c>
      <c r="L87" s="759" t="str">
        <f t="shared" si="16"/>
        <v/>
      </c>
      <c r="M87" s="759" t="str">
        <f t="shared" si="17"/>
        <v/>
      </c>
      <c r="N87" s="759" t="str">
        <f t="shared" si="18"/>
        <v/>
      </c>
      <c r="O87" s="868" t="s">
        <v>132</v>
      </c>
      <c r="P87" s="868"/>
      <c r="Q87" s="868"/>
      <c r="R87" s="868"/>
      <c r="S87" s="868"/>
      <c r="T87" s="758" t="s">
        <v>2076</v>
      </c>
      <c r="U87" s="758"/>
      <c r="V87" s="758"/>
      <c r="W87" s="758"/>
      <c r="X87" s="758"/>
      <c r="Y87" s="910"/>
      <c r="Z87" s="761"/>
      <c r="AA87" s="764"/>
      <c r="AB87" s="761"/>
      <c r="AC87" s="761"/>
      <c r="AD87" s="761"/>
    </row>
    <row r="88" spans="1:30" ht="18" customHeight="1">
      <c r="A88" s="760"/>
      <c r="B88" s="814">
        <v>71</v>
      </c>
      <c r="C88" s="758" t="s">
        <v>2077</v>
      </c>
      <c r="D88" s="878"/>
      <c r="E88" s="758"/>
      <c r="F88" s="758"/>
      <c r="G88" s="758"/>
      <c r="H88" s="806"/>
      <c r="I88" s="914">
        <f t="shared" si="13"/>
        <v>0</v>
      </c>
      <c r="J88" s="914">
        <f t="shared" si="14"/>
        <v>0</v>
      </c>
      <c r="K88" s="914">
        <f t="shared" si="15"/>
        <v>0</v>
      </c>
      <c r="L88" s="759" t="str">
        <f t="shared" si="16"/>
        <v/>
      </c>
      <c r="M88" s="759" t="str">
        <f t="shared" si="17"/>
        <v/>
      </c>
      <c r="N88" s="759" t="str">
        <f t="shared" si="18"/>
        <v/>
      </c>
      <c r="O88" s="868" t="s">
        <v>133</v>
      </c>
      <c r="P88" s="868"/>
      <c r="Q88" s="868"/>
      <c r="R88" s="868"/>
      <c r="S88" s="868"/>
      <c r="T88" s="758" t="s">
        <v>2078</v>
      </c>
      <c r="U88" s="758"/>
      <c r="V88" s="758"/>
      <c r="W88" s="758"/>
      <c r="X88" s="758"/>
      <c r="Y88" s="910"/>
      <c r="Z88" s="761"/>
      <c r="AA88" s="764"/>
      <c r="AB88" s="761"/>
      <c r="AC88" s="761"/>
      <c r="AD88" s="761"/>
    </row>
    <row r="89" spans="1:30" ht="18" customHeight="1">
      <c r="A89" s="760"/>
      <c r="B89" s="814">
        <v>72</v>
      </c>
      <c r="C89" s="758" t="s">
        <v>2079</v>
      </c>
      <c r="D89" s="878" t="s">
        <v>2075</v>
      </c>
      <c r="E89" s="758" t="s">
        <v>2075</v>
      </c>
      <c r="F89" s="758" t="s">
        <v>2040</v>
      </c>
      <c r="G89" s="758"/>
      <c r="H89" s="806"/>
      <c r="I89" s="914" t="str">
        <f t="shared" si="13"/>
        <v>10</v>
      </c>
      <c r="J89" s="914" t="str">
        <f t="shared" si="14"/>
        <v>Среднесписочная численность основного производственного персонала</v>
      </c>
      <c r="K89" s="914">
        <f t="shared" si="15"/>
        <v>0</v>
      </c>
      <c r="L89" s="759" t="str">
        <f t="shared" si="16"/>
        <v>10</v>
      </c>
      <c r="M89" s="759" t="str">
        <f t="shared" si="17"/>
        <v>Среднесписочная численность основного производственного персонала</v>
      </c>
      <c r="N89" s="759" t="str">
        <f t="shared" si="18"/>
        <v/>
      </c>
      <c r="O89" s="868" t="s">
        <v>134</v>
      </c>
      <c r="P89" s="868" t="s">
        <v>133</v>
      </c>
      <c r="Q89" s="868" t="s">
        <v>133</v>
      </c>
      <c r="R89" s="868" t="s">
        <v>131</v>
      </c>
      <c r="S89" s="868"/>
      <c r="T89" s="758" t="s">
        <v>2080</v>
      </c>
      <c r="U89" s="758" t="s">
        <v>2080</v>
      </c>
      <c r="V89" s="758" t="s">
        <v>2080</v>
      </c>
      <c r="W89" s="758" t="s">
        <v>2080</v>
      </c>
      <c r="X89" s="758"/>
      <c r="Y89" s="910"/>
      <c r="Z89" s="761"/>
      <c r="AA89" s="764"/>
      <c r="AB89" s="761"/>
      <c r="AC89" s="761"/>
      <c r="AD89" s="761"/>
    </row>
    <row r="90" spans="1:30" ht="27" customHeight="1">
      <c r="A90" s="760"/>
      <c r="B90" s="814">
        <v>73</v>
      </c>
      <c r="C90" s="758" t="s">
        <v>2081</v>
      </c>
      <c r="D90" s="878"/>
      <c r="E90" s="758"/>
      <c r="F90" s="758"/>
      <c r="G90" s="758"/>
      <c r="H90" s="806"/>
      <c r="I90" s="914">
        <f t="shared" si="13"/>
        <v>0</v>
      </c>
      <c r="J90" s="914">
        <f t="shared" si="14"/>
        <v>0</v>
      </c>
      <c r="K90" s="914">
        <f t="shared" si="15"/>
        <v>0</v>
      </c>
      <c r="L90" s="759" t="str">
        <f t="shared" si="16"/>
        <v/>
      </c>
      <c r="M90" s="759" t="str">
        <f t="shared" si="17"/>
        <v/>
      </c>
      <c r="N90" s="759" t="str">
        <f t="shared" si="18"/>
        <v/>
      </c>
      <c r="O90" s="868" t="s">
        <v>135</v>
      </c>
      <c r="P90" s="868"/>
      <c r="Q90" s="868"/>
      <c r="R90" s="868"/>
      <c r="S90" s="868"/>
      <c r="T90" s="758" t="s">
        <v>2082</v>
      </c>
      <c r="U90" s="758"/>
      <c r="V90" s="758"/>
      <c r="W90" s="758"/>
      <c r="X90" s="758"/>
      <c r="Y90" s="910"/>
      <c r="Z90" s="761"/>
      <c r="AA90" s="764"/>
      <c r="AB90" s="761"/>
      <c r="AC90" s="761"/>
      <c r="AD90" s="761"/>
    </row>
    <row r="91" spans="1:30" ht="18" customHeight="1">
      <c r="A91" s="760"/>
      <c r="B91" s="814">
        <v>74</v>
      </c>
      <c r="C91" s="758"/>
      <c r="D91" s="878" t="s">
        <v>2077</v>
      </c>
      <c r="E91" s="758" t="s">
        <v>2077</v>
      </c>
      <c r="F91" s="758"/>
      <c r="G91" s="758"/>
      <c r="H91" s="806"/>
      <c r="I91" s="914">
        <f t="shared" si="13"/>
        <v>0</v>
      </c>
      <c r="J91" s="914">
        <f t="shared" si="14"/>
        <v>0</v>
      </c>
      <c r="K91" s="914">
        <f t="shared" si="15"/>
        <v>0</v>
      </c>
      <c r="L91" s="759" t="str">
        <f t="shared" si="16"/>
        <v/>
      </c>
      <c r="M91" s="759" t="str">
        <f t="shared" si="17"/>
        <v/>
      </c>
      <c r="N91" s="759" t="str">
        <f t="shared" si="18"/>
        <v/>
      </c>
      <c r="O91" s="868"/>
      <c r="P91" s="868" t="s">
        <v>134</v>
      </c>
      <c r="Q91" s="868" t="s">
        <v>134</v>
      </c>
      <c r="R91" s="868"/>
      <c r="S91" s="868"/>
      <c r="T91" s="758"/>
      <c r="U91" s="758" t="s">
        <v>2083</v>
      </c>
      <c r="V91" s="758" t="s">
        <v>2083</v>
      </c>
      <c r="W91" s="758"/>
      <c r="X91" s="758"/>
      <c r="Y91" s="910"/>
      <c r="Z91" s="761"/>
      <c r="AA91" s="764"/>
      <c r="AB91" s="761"/>
      <c r="AC91" s="761"/>
      <c r="AD91" s="761"/>
    </row>
    <row r="92" spans="1:30" ht="27" customHeight="1">
      <c r="A92" s="760"/>
      <c r="B92" s="814">
        <v>75</v>
      </c>
      <c r="C92" s="758"/>
      <c r="D92" s="878" t="s">
        <v>2079</v>
      </c>
      <c r="E92" s="758"/>
      <c r="F92" s="758"/>
      <c r="G92" s="758"/>
      <c r="H92" s="806"/>
      <c r="I92" s="914">
        <f t="shared" si="13"/>
        <v>0</v>
      </c>
      <c r="J92" s="914">
        <f t="shared" si="14"/>
        <v>0</v>
      </c>
      <c r="K92" s="914">
        <f t="shared" si="15"/>
        <v>0</v>
      </c>
      <c r="L92" s="759" t="str">
        <f t="shared" si="16"/>
        <v/>
      </c>
      <c r="M92" s="759" t="str">
        <f t="shared" si="17"/>
        <v/>
      </c>
      <c r="N92" s="759" t="str">
        <f t="shared" si="18"/>
        <v/>
      </c>
      <c r="O92" s="868"/>
      <c r="P92" s="868" t="s">
        <v>135</v>
      </c>
      <c r="Q92" s="868"/>
      <c r="R92" s="868"/>
      <c r="S92" s="868"/>
      <c r="T92" s="758"/>
      <c r="U92" s="758" t="s">
        <v>2084</v>
      </c>
      <c r="V92" s="758"/>
      <c r="W92" s="758"/>
      <c r="X92" s="758"/>
      <c r="Y92" s="910"/>
      <c r="Z92" s="761"/>
      <c r="AA92" s="764" t="s">
        <v>2085</v>
      </c>
      <c r="AB92" s="761"/>
      <c r="AC92" s="761"/>
      <c r="AD92" s="761"/>
    </row>
    <row r="93" spans="1:30" ht="27" customHeight="1">
      <c r="A93" s="760"/>
      <c r="B93" s="814">
        <v>76</v>
      </c>
      <c r="C93" s="758"/>
      <c r="D93" s="878"/>
      <c r="E93" s="758"/>
      <c r="F93" s="758"/>
      <c r="G93" s="758"/>
      <c r="H93" s="806"/>
      <c r="I93" s="914">
        <f t="shared" si="13"/>
        <v>0</v>
      </c>
      <c r="J93" s="914">
        <f t="shared" si="14"/>
        <v>0</v>
      </c>
      <c r="K93" s="914">
        <f t="shared" si="15"/>
        <v>0</v>
      </c>
      <c r="L93" s="759" t="str">
        <f t="shared" si="16"/>
        <v/>
      </c>
      <c r="M93" s="759" t="str">
        <f t="shared" si="17"/>
        <v/>
      </c>
      <c r="N93" s="759" t="str">
        <f t="shared" si="18"/>
        <v/>
      </c>
      <c r="O93" s="868"/>
      <c r="P93" s="868" t="s">
        <v>1984</v>
      </c>
      <c r="Q93" s="868"/>
      <c r="R93" s="868"/>
      <c r="S93" s="868"/>
      <c r="T93" s="758"/>
      <c r="U93" s="758" t="s">
        <v>2086</v>
      </c>
      <c r="V93" s="758"/>
      <c r="W93" s="758"/>
      <c r="X93" s="758"/>
      <c r="Y93" s="910"/>
      <c r="Z93" s="761"/>
      <c r="AA93" s="764" t="s">
        <v>2087</v>
      </c>
      <c r="AB93" s="761"/>
      <c r="AC93" s="761"/>
      <c r="AD93" s="761"/>
    </row>
    <row r="94" spans="1:30" ht="45" customHeight="1">
      <c r="A94" s="760"/>
      <c r="B94" s="814">
        <v>77</v>
      </c>
      <c r="C94" s="758"/>
      <c r="D94" s="878" t="s">
        <v>2081</v>
      </c>
      <c r="E94" s="758"/>
      <c r="F94" s="758"/>
      <c r="G94" s="758"/>
      <c r="H94" s="806"/>
      <c r="I94" s="914">
        <f t="shared" si="13"/>
        <v>0</v>
      </c>
      <c r="J94" s="914">
        <f t="shared" si="14"/>
        <v>0</v>
      </c>
      <c r="K94" s="914">
        <f t="shared" si="15"/>
        <v>0</v>
      </c>
      <c r="L94" s="759" t="str">
        <f t="shared" si="16"/>
        <v/>
      </c>
      <c r="M94" s="759" t="str">
        <f t="shared" si="17"/>
        <v/>
      </c>
      <c r="N94" s="759" t="str">
        <f t="shared" si="18"/>
        <v/>
      </c>
      <c r="O94" s="868"/>
      <c r="P94" s="868" t="s">
        <v>1434</v>
      </c>
      <c r="Q94" s="868"/>
      <c r="R94" s="868"/>
      <c r="S94" s="868"/>
      <c r="T94" s="758"/>
      <c r="U94" s="758" t="s">
        <v>2088</v>
      </c>
      <c r="V94" s="758"/>
      <c r="W94" s="758"/>
      <c r="X94" s="758"/>
      <c r="Y94" s="910"/>
      <c r="Z94" s="761"/>
      <c r="AA94" s="764" t="s">
        <v>2089</v>
      </c>
      <c r="AB94" s="761"/>
      <c r="AC94" s="761"/>
      <c r="AD94" s="761"/>
    </row>
    <row r="95" spans="1:30" ht="99" customHeight="1">
      <c r="A95" s="760"/>
      <c r="B95" s="814">
        <v>78</v>
      </c>
      <c r="C95" s="758" t="s">
        <v>2090</v>
      </c>
      <c r="D95" s="878"/>
      <c r="E95" s="758"/>
      <c r="F95" s="758"/>
      <c r="G95" s="758"/>
      <c r="H95" s="806"/>
      <c r="I95" s="914">
        <f t="shared" si="13"/>
        <v>0</v>
      </c>
      <c r="J95" s="914">
        <f t="shared" si="14"/>
        <v>0</v>
      </c>
      <c r="K95" s="914">
        <f t="shared" si="15"/>
        <v>0</v>
      </c>
      <c r="L95" s="759" t="str">
        <f t="shared" si="16"/>
        <v/>
      </c>
      <c r="M95" s="759" t="str">
        <f t="shared" si="17"/>
        <v/>
      </c>
      <c r="N95" s="759" t="str">
        <f t="shared" si="18"/>
        <v/>
      </c>
      <c r="O95" s="868" t="s">
        <v>1434</v>
      </c>
      <c r="P95" s="868"/>
      <c r="Q95" s="868"/>
      <c r="R95" s="868"/>
      <c r="S95" s="868"/>
      <c r="T95" s="758" t="s">
        <v>2091</v>
      </c>
      <c r="U95" s="758"/>
      <c r="V95" s="758"/>
      <c r="W95" s="758"/>
      <c r="X95" s="758"/>
      <c r="Y95" s="910"/>
      <c r="Z95" s="761"/>
      <c r="AA95" s="764"/>
      <c r="AB95" s="761"/>
      <c r="AC95" s="761"/>
      <c r="AD95" s="761"/>
    </row>
    <row r="96" spans="1:30" ht="99" customHeight="1">
      <c r="A96" s="760"/>
      <c r="B96" s="814">
        <v>79</v>
      </c>
      <c r="C96" s="758" t="s">
        <v>1026</v>
      </c>
      <c r="D96" s="878"/>
      <c r="E96" s="758"/>
      <c r="F96" s="758"/>
      <c r="G96" s="758"/>
      <c r="H96" s="806"/>
      <c r="I96" s="914">
        <f t="shared" si="13"/>
        <v>0</v>
      </c>
      <c r="J96" s="914">
        <f t="shared" si="14"/>
        <v>0</v>
      </c>
      <c r="K96" s="914">
        <f t="shared" si="15"/>
        <v>0</v>
      </c>
      <c r="L96" s="759" t="str">
        <f t="shared" si="16"/>
        <v/>
      </c>
      <c r="M96" s="759" t="str">
        <f t="shared" si="17"/>
        <v/>
      </c>
      <c r="N96" s="759" t="str">
        <f t="shared" si="18"/>
        <v/>
      </c>
      <c r="O96" s="868" t="s">
        <v>1440</v>
      </c>
      <c r="P96" s="868"/>
      <c r="Q96" s="868"/>
      <c r="R96" s="868"/>
      <c r="S96" s="868"/>
      <c r="T96" s="758" t="s">
        <v>2092</v>
      </c>
      <c r="U96" s="758"/>
      <c r="V96" s="758"/>
      <c r="W96" s="758"/>
      <c r="X96" s="758"/>
      <c r="Y96" s="910"/>
      <c r="Z96" s="761" t="s">
        <v>2093</v>
      </c>
      <c r="AA96" s="764"/>
      <c r="AB96" s="761"/>
      <c r="AC96" s="761"/>
      <c r="AD96" s="761"/>
    </row>
    <row r="97" spans="1:30" ht="63" customHeight="1">
      <c r="A97" s="760"/>
      <c r="B97" s="814">
        <v>80</v>
      </c>
      <c r="C97" s="758" t="s">
        <v>2094</v>
      </c>
      <c r="D97" s="878"/>
      <c r="E97" s="758"/>
      <c r="F97" s="758"/>
      <c r="G97" s="758"/>
      <c r="H97" s="806"/>
      <c r="I97" s="914">
        <f t="shared" si="13"/>
        <v>0</v>
      </c>
      <c r="J97" s="914">
        <f t="shared" si="14"/>
        <v>0</v>
      </c>
      <c r="K97" s="914">
        <f t="shared" si="15"/>
        <v>0</v>
      </c>
      <c r="L97" s="759" t="str">
        <f t="shared" si="16"/>
        <v/>
      </c>
      <c r="M97" s="759" t="str">
        <f t="shared" si="17"/>
        <v/>
      </c>
      <c r="N97" s="759" t="str">
        <f t="shared" si="18"/>
        <v/>
      </c>
      <c r="O97" s="868" t="s">
        <v>1451</v>
      </c>
      <c r="P97" s="868"/>
      <c r="Q97" s="868"/>
      <c r="R97" s="868"/>
      <c r="S97" s="868"/>
      <c r="T97" s="758" t="s">
        <v>2095</v>
      </c>
      <c r="U97" s="758"/>
      <c r="V97" s="758"/>
      <c r="W97" s="758"/>
      <c r="X97" s="758"/>
      <c r="Y97" s="910"/>
      <c r="Z97" s="761" t="s">
        <v>2096</v>
      </c>
      <c r="AA97" s="764"/>
      <c r="AB97" s="761"/>
      <c r="AC97" s="761"/>
      <c r="AD97" s="761"/>
    </row>
    <row r="98" spans="1:30" ht="63" customHeight="1">
      <c r="A98" s="760"/>
      <c r="B98" s="814">
        <v>81</v>
      </c>
      <c r="C98" s="758" t="s">
        <v>2097</v>
      </c>
      <c r="D98" s="878"/>
      <c r="E98" s="758"/>
      <c r="F98" s="758"/>
      <c r="G98" s="758"/>
      <c r="H98" s="806"/>
      <c r="I98" s="914">
        <f t="shared" si="13"/>
        <v>0</v>
      </c>
      <c r="J98" s="914">
        <f t="shared" si="14"/>
        <v>0</v>
      </c>
      <c r="K98" s="914">
        <f t="shared" si="15"/>
        <v>0</v>
      </c>
      <c r="L98" s="759" t="str">
        <f t="shared" si="16"/>
        <v/>
      </c>
      <c r="M98" s="759" t="str">
        <f t="shared" si="17"/>
        <v/>
      </c>
      <c r="N98" s="759" t="str">
        <f t="shared" si="18"/>
        <v/>
      </c>
      <c r="O98" s="868" t="s">
        <v>1465</v>
      </c>
      <c r="P98" s="868"/>
      <c r="Q98" s="868"/>
      <c r="R98" s="868"/>
      <c r="S98" s="868"/>
      <c r="T98" s="758" t="s">
        <v>2098</v>
      </c>
      <c r="U98" s="758"/>
      <c r="V98" s="758"/>
      <c r="W98" s="758"/>
      <c r="X98" s="758"/>
      <c r="Y98" s="910"/>
      <c r="Z98" s="761" t="s">
        <v>2096</v>
      </c>
      <c r="AA98" s="764"/>
      <c r="AB98" s="761"/>
      <c r="AC98" s="761"/>
      <c r="AD98" s="761"/>
    </row>
    <row r="99" spans="1:30" ht="90" customHeight="1">
      <c r="A99" s="760"/>
      <c r="B99" s="814">
        <v>82</v>
      </c>
      <c r="C99" s="758" t="s">
        <v>2099</v>
      </c>
      <c r="D99" s="878"/>
      <c r="E99" s="758"/>
      <c r="F99" s="758"/>
      <c r="G99" s="758"/>
      <c r="H99" s="806"/>
      <c r="I99" s="914">
        <f t="shared" si="13"/>
        <v>0</v>
      </c>
      <c r="J99" s="914">
        <f t="shared" si="14"/>
        <v>0</v>
      </c>
      <c r="K99" s="914">
        <f t="shared" si="15"/>
        <v>0</v>
      </c>
      <c r="L99" s="759" t="str">
        <f t="shared" si="16"/>
        <v/>
      </c>
      <c r="M99" s="759" t="str">
        <f t="shared" si="17"/>
        <v/>
      </c>
      <c r="N99" s="759" t="str">
        <f t="shared" si="18"/>
        <v/>
      </c>
      <c r="O99" s="868" t="s">
        <v>1477</v>
      </c>
      <c r="P99" s="868"/>
      <c r="Q99" s="868"/>
      <c r="R99" s="868"/>
      <c r="S99" s="868"/>
      <c r="T99" s="758" t="s">
        <v>2100</v>
      </c>
      <c r="U99" s="758"/>
      <c r="V99" s="758"/>
      <c r="W99" s="758"/>
      <c r="X99" s="758"/>
      <c r="Y99" s="910"/>
      <c r="Z99" s="761" t="s">
        <v>765</v>
      </c>
      <c r="AA99" s="764"/>
      <c r="AB99" s="761"/>
      <c r="AC99" s="761"/>
      <c r="AD99" s="761"/>
    </row>
    <row r="100" spans="1:30" ht="27" customHeight="1">
      <c r="A100" s="760"/>
      <c r="B100" s="814">
        <v>83</v>
      </c>
      <c r="C100" s="758"/>
      <c r="D100" s="878"/>
      <c r="E100" s="758"/>
      <c r="F100" s="758"/>
      <c r="G100" s="758"/>
      <c r="H100" s="806"/>
      <c r="I100" s="914">
        <f t="shared" si="13"/>
        <v>0</v>
      </c>
      <c r="J100" s="914">
        <f t="shared" si="14"/>
        <v>0</v>
      </c>
      <c r="K100" s="914">
        <f t="shared" si="15"/>
        <v>0</v>
      </c>
      <c r="L100" s="759" t="str">
        <f t="shared" si="16"/>
        <v/>
      </c>
      <c r="M100" s="759" t="str">
        <f t="shared" si="17"/>
        <v/>
      </c>
      <c r="N100" s="759" t="str">
        <f t="shared" si="18"/>
        <v/>
      </c>
      <c r="O100" s="868" t="s">
        <v>2101</v>
      </c>
      <c r="P100" s="868"/>
      <c r="Q100" s="868"/>
      <c r="R100" s="868"/>
      <c r="S100" s="868"/>
      <c r="T100" s="758" t="s">
        <v>2102</v>
      </c>
      <c r="U100" s="758"/>
      <c r="V100" s="758"/>
      <c r="W100" s="758"/>
      <c r="X100" s="758"/>
      <c r="Y100" s="910"/>
      <c r="Z100" s="761" t="s">
        <v>765</v>
      </c>
      <c r="AA100" s="764"/>
      <c r="AB100" s="761"/>
      <c r="AC100" s="761"/>
      <c r="AD100" s="761"/>
    </row>
    <row r="101" spans="1:30" ht="27" customHeight="1">
      <c r="A101" s="760"/>
      <c r="B101" s="814">
        <v>84</v>
      </c>
      <c r="C101" s="758"/>
      <c r="D101" s="878"/>
      <c r="E101" s="758"/>
      <c r="F101" s="758"/>
      <c r="G101" s="758"/>
      <c r="H101" s="806"/>
      <c r="I101" s="914">
        <f t="shared" si="13"/>
        <v>0</v>
      </c>
      <c r="J101" s="914">
        <f t="shared" si="14"/>
        <v>0</v>
      </c>
      <c r="K101" s="914">
        <f t="shared" si="15"/>
        <v>0</v>
      </c>
      <c r="L101" s="759" t="str">
        <f t="shared" si="16"/>
        <v/>
      </c>
      <c r="M101" s="759" t="str">
        <f t="shared" si="17"/>
        <v/>
      </c>
      <c r="N101" s="759" t="str">
        <f t="shared" si="18"/>
        <v/>
      </c>
      <c r="O101" s="868" t="s">
        <v>2103</v>
      </c>
      <c r="P101" s="868"/>
      <c r="Q101" s="868"/>
      <c r="R101" s="868"/>
      <c r="S101" s="868"/>
      <c r="T101" s="758" t="s">
        <v>2104</v>
      </c>
      <c r="U101" s="758"/>
      <c r="V101" s="758"/>
      <c r="W101" s="758"/>
      <c r="X101" s="758"/>
      <c r="Y101" s="910"/>
      <c r="Z101" s="761" t="s">
        <v>765</v>
      </c>
      <c r="AA101" s="764"/>
      <c r="AB101" s="761"/>
      <c r="AC101" s="761"/>
      <c r="AD101" s="761"/>
    </row>
    <row r="102" spans="1:30" ht="9" customHeight="1">
      <c r="A102" s="760"/>
      <c r="B102" s="760"/>
      <c r="C102" s="758"/>
      <c r="D102" s="758"/>
      <c r="E102" s="758"/>
      <c r="F102" s="758"/>
      <c r="G102" s="758"/>
      <c r="H102" s="806"/>
      <c r="I102" s="806"/>
      <c r="J102" s="806"/>
      <c r="K102" s="806"/>
      <c r="L102" s="806"/>
      <c r="M102" s="758"/>
      <c r="N102" s="805"/>
      <c r="O102" s="868"/>
      <c r="P102" s="868"/>
      <c r="Q102" s="868"/>
      <c r="R102" s="868"/>
      <c r="S102" s="758"/>
      <c r="T102" s="758"/>
      <c r="U102" s="758"/>
      <c r="V102" s="758"/>
      <c r="W102" s="758"/>
      <c r="X102" s="758"/>
      <c r="Y102" s="910"/>
      <c r="Z102" s="761"/>
      <c r="AA102" s="764"/>
      <c r="AB102" s="761"/>
      <c r="AC102" s="761"/>
      <c r="AD102" s="761"/>
    </row>
    <row r="103" spans="1:30" ht="9" customHeight="1">
      <c r="A103" s="760"/>
      <c r="B103" s="760"/>
      <c r="C103" s="758"/>
      <c r="D103" s="758"/>
      <c r="E103" s="758"/>
      <c r="F103" s="758"/>
      <c r="G103" s="758"/>
      <c r="H103" s="806"/>
      <c r="I103" s="806"/>
      <c r="J103" s="806"/>
      <c r="K103" s="806"/>
      <c r="L103" s="806"/>
      <c r="M103" s="758"/>
      <c r="N103" s="805"/>
      <c r="O103" s="868"/>
      <c r="P103" s="868"/>
      <c r="Q103" s="868"/>
      <c r="R103" s="868"/>
      <c r="S103" s="758"/>
      <c r="T103" s="758"/>
      <c r="U103" s="758"/>
      <c r="V103" s="758"/>
      <c r="W103" s="758"/>
      <c r="X103" s="758"/>
      <c r="Y103" s="910"/>
      <c r="Z103" s="761"/>
      <c r="AA103" s="764"/>
      <c r="AB103" s="761"/>
      <c r="AC103" s="761"/>
      <c r="AD103" s="761"/>
    </row>
    <row r="104" spans="1:30" ht="9" customHeight="1">
      <c r="A104" s="760"/>
      <c r="B104" s="760"/>
      <c r="C104" s="758"/>
      <c r="D104" s="758"/>
      <c r="E104" s="758"/>
      <c r="F104" s="758"/>
      <c r="G104" s="758"/>
      <c r="H104" s="806"/>
      <c r="I104" s="806"/>
      <c r="J104" s="806"/>
      <c r="K104" s="806"/>
      <c r="L104" s="806"/>
      <c r="M104" s="758"/>
      <c r="N104" s="805"/>
      <c r="O104" s="868"/>
      <c r="P104" s="868"/>
      <c r="Q104" s="868"/>
      <c r="R104" s="868"/>
      <c r="S104" s="758"/>
      <c r="T104" s="758"/>
      <c r="U104" s="758"/>
      <c r="V104" s="758"/>
      <c r="W104" s="758"/>
      <c r="X104" s="758"/>
      <c r="Y104" s="910"/>
      <c r="Z104" s="761"/>
      <c r="AA104" s="764"/>
      <c r="AB104" s="761"/>
      <c r="AC104" s="761"/>
      <c r="AD104" s="761"/>
    </row>
    <row r="105" spans="1:30" ht="9" customHeight="1">
      <c r="A105" s="760"/>
      <c r="B105" s="760"/>
      <c r="C105" s="758"/>
      <c r="D105" s="758"/>
      <c r="E105" s="758"/>
      <c r="F105" s="758"/>
      <c r="G105" s="758"/>
      <c r="H105" s="806"/>
      <c r="I105" s="806"/>
      <c r="J105" s="806"/>
      <c r="K105" s="806"/>
      <c r="L105" s="806"/>
      <c r="M105" s="758"/>
      <c r="N105" s="805"/>
      <c r="O105" s="868"/>
      <c r="P105" s="868"/>
      <c r="Q105" s="868"/>
      <c r="R105" s="868"/>
      <c r="S105" s="758"/>
      <c r="T105" s="758"/>
      <c r="U105" s="758"/>
      <c r="V105" s="758"/>
      <c r="W105" s="758"/>
      <c r="X105" s="758"/>
      <c r="Y105" s="910"/>
      <c r="Z105" s="761"/>
      <c r="AA105" s="764"/>
      <c r="AB105" s="761"/>
      <c r="AC105" s="761"/>
      <c r="AD105" s="761"/>
    </row>
    <row r="106" spans="1:30" ht="9" customHeight="1">
      <c r="A106" s="760"/>
      <c r="B106" s="760"/>
      <c r="C106" s="758"/>
      <c r="D106" s="758"/>
      <c r="E106" s="758"/>
      <c r="F106" s="758"/>
      <c r="G106" s="758"/>
      <c r="H106" s="806"/>
      <c r="I106" s="806"/>
      <c r="J106" s="806"/>
      <c r="K106" s="806"/>
      <c r="L106" s="806"/>
      <c r="M106" s="758"/>
      <c r="N106" s="805"/>
      <c r="O106" s="868"/>
      <c r="P106" s="868"/>
      <c r="Q106" s="868"/>
      <c r="R106" s="868"/>
      <c r="S106" s="758"/>
      <c r="T106" s="758"/>
      <c r="U106" s="758"/>
      <c r="V106" s="758"/>
      <c r="W106" s="758"/>
      <c r="X106" s="758"/>
      <c r="Y106" s="910"/>
      <c r="Z106" s="761"/>
      <c r="AA106" s="764"/>
      <c r="AB106" s="761"/>
      <c r="AC106" s="761"/>
      <c r="AD106" s="761"/>
    </row>
    <row r="107" spans="1:30" ht="9" customHeight="1">
      <c r="A107" s="760"/>
      <c r="B107" s="760"/>
      <c r="C107" s="758"/>
      <c r="D107" s="758"/>
      <c r="E107" s="758"/>
      <c r="F107" s="758"/>
      <c r="G107" s="758"/>
      <c r="H107" s="806"/>
      <c r="I107" s="806"/>
      <c r="J107" s="806"/>
      <c r="K107" s="806"/>
      <c r="L107" s="806"/>
      <c r="M107" s="758"/>
      <c r="N107" s="805"/>
      <c r="O107" s="868"/>
      <c r="P107" s="868"/>
      <c r="Q107" s="868"/>
      <c r="R107" s="868"/>
      <c r="S107" s="758"/>
      <c r="T107" s="758"/>
      <c r="U107" s="758"/>
      <c r="V107" s="758"/>
      <c r="W107" s="758"/>
      <c r="X107" s="758"/>
      <c r="Y107" s="910"/>
      <c r="Z107" s="761"/>
      <c r="AA107" s="764"/>
      <c r="AB107" s="761"/>
      <c r="AC107" s="761"/>
      <c r="AD107" s="761"/>
    </row>
    <row r="108" spans="1:30" ht="9" customHeight="1">
      <c r="A108" s="760"/>
      <c r="B108" s="760"/>
      <c r="C108" s="758"/>
      <c r="D108" s="758"/>
      <c r="E108" s="758"/>
      <c r="F108" s="758"/>
      <c r="G108" s="758"/>
      <c r="H108" s="806"/>
      <c r="I108" s="806"/>
      <c r="J108" s="806"/>
      <c r="K108" s="806"/>
      <c r="L108" s="806"/>
      <c r="M108" s="758"/>
      <c r="N108" s="805"/>
      <c r="O108" s="868"/>
      <c r="P108" s="868"/>
      <c r="Q108" s="868"/>
      <c r="R108" s="868"/>
      <c r="S108" s="758"/>
      <c r="T108" s="758"/>
      <c r="U108" s="758"/>
      <c r="V108" s="758"/>
      <c r="W108" s="758"/>
      <c r="X108" s="758"/>
      <c r="Y108" s="910"/>
      <c r="Z108" s="761"/>
      <c r="AA108" s="764"/>
      <c r="AB108" s="761"/>
      <c r="AC108" s="761"/>
      <c r="AD108" s="761"/>
    </row>
    <row r="109" spans="1:30" ht="9" customHeight="1">
      <c r="A109" s="760"/>
      <c r="B109" s="760"/>
      <c r="C109" s="758"/>
      <c r="D109" s="758"/>
      <c r="E109" s="758"/>
      <c r="F109" s="758"/>
      <c r="G109" s="758"/>
      <c r="H109" s="806"/>
      <c r="I109" s="806"/>
      <c r="J109" s="806"/>
      <c r="K109" s="806"/>
      <c r="L109" s="806"/>
      <c r="M109" s="758"/>
      <c r="N109" s="805"/>
      <c r="O109" s="868"/>
      <c r="P109" s="868"/>
      <c r="Q109" s="868"/>
      <c r="R109" s="868"/>
      <c r="S109" s="758"/>
      <c r="T109" s="758"/>
      <c r="U109" s="758"/>
      <c r="V109" s="758"/>
      <c r="W109" s="758"/>
      <c r="X109" s="758"/>
      <c r="Y109" s="910"/>
      <c r="Z109" s="761"/>
      <c r="AA109" s="764"/>
      <c r="AB109" s="761"/>
      <c r="AC109" s="761"/>
      <c r="AD109" s="761"/>
    </row>
    <row r="110" spans="1:30" ht="9" customHeight="1">
      <c r="A110" s="760"/>
      <c r="B110" s="760"/>
      <c r="C110" s="758"/>
      <c r="D110" s="758"/>
      <c r="E110" s="758"/>
      <c r="F110" s="758"/>
      <c r="G110" s="758"/>
      <c r="H110" s="806"/>
      <c r="I110" s="806"/>
      <c r="J110" s="806"/>
      <c r="K110" s="806"/>
      <c r="L110" s="806"/>
      <c r="M110" s="758"/>
      <c r="N110" s="805"/>
      <c r="O110" s="868"/>
      <c r="P110" s="868"/>
      <c r="Q110" s="868"/>
      <c r="R110" s="868"/>
      <c r="S110" s="758"/>
      <c r="T110" s="758"/>
      <c r="U110" s="758"/>
      <c r="V110" s="758"/>
      <c r="W110" s="758"/>
      <c r="X110" s="758"/>
      <c r="Y110" s="910"/>
      <c r="Z110" s="761"/>
      <c r="AA110" s="764"/>
      <c r="AB110" s="761"/>
      <c r="AC110" s="761"/>
      <c r="AD110" s="761"/>
    </row>
    <row r="111" spans="1:30" ht="9" customHeight="1">
      <c r="A111" s="760"/>
      <c r="B111" s="760"/>
      <c r="C111" s="758"/>
      <c r="D111" s="758"/>
      <c r="E111" s="758"/>
      <c r="F111" s="758"/>
      <c r="G111" s="758"/>
      <c r="H111" s="806"/>
      <c r="I111" s="806"/>
      <c r="J111" s="806"/>
      <c r="K111" s="806"/>
      <c r="L111" s="806"/>
      <c r="M111" s="758"/>
      <c r="N111" s="805"/>
      <c r="O111" s="868"/>
      <c r="P111" s="868"/>
      <c r="Q111" s="868"/>
      <c r="R111" s="868"/>
      <c r="S111" s="758"/>
      <c r="T111" s="758"/>
      <c r="U111" s="758"/>
      <c r="V111" s="758"/>
      <c r="W111" s="758"/>
      <c r="X111" s="758"/>
      <c r="Y111" s="910"/>
      <c r="Z111" s="761"/>
      <c r="AA111" s="764"/>
      <c r="AB111" s="761"/>
      <c r="AC111" s="761"/>
      <c r="AD111" s="761"/>
    </row>
    <row r="112" spans="1:30" ht="9" customHeight="1">
      <c r="A112" s="760"/>
      <c r="B112" s="760"/>
      <c r="C112" s="758"/>
      <c r="D112" s="758"/>
      <c r="E112" s="758"/>
      <c r="F112" s="758"/>
      <c r="G112" s="758"/>
      <c r="H112" s="806"/>
      <c r="I112" s="806"/>
      <c r="J112" s="806"/>
      <c r="K112" s="806"/>
      <c r="L112" s="806"/>
      <c r="M112" s="758"/>
      <c r="N112" s="805"/>
      <c r="O112" s="868"/>
      <c r="P112" s="868"/>
      <c r="Q112" s="868"/>
      <c r="R112" s="868"/>
      <c r="S112" s="758"/>
      <c r="T112" s="758"/>
      <c r="U112" s="758"/>
      <c r="V112" s="758"/>
      <c r="W112" s="758"/>
      <c r="X112" s="758"/>
      <c r="Y112" s="910"/>
      <c r="Z112" s="761"/>
      <c r="AA112" s="764"/>
      <c r="AB112" s="761"/>
      <c r="AC112" s="761"/>
      <c r="AD112" s="761"/>
    </row>
    <row r="113" spans="1:30" ht="9" customHeight="1">
      <c r="A113" s="760"/>
      <c r="B113" s="760"/>
      <c r="C113" s="758"/>
      <c r="D113" s="758"/>
      <c r="E113" s="758"/>
      <c r="F113" s="758"/>
      <c r="G113" s="758"/>
      <c r="H113" s="806"/>
      <c r="I113" s="806"/>
      <c r="J113" s="806"/>
      <c r="K113" s="806"/>
      <c r="L113" s="806"/>
      <c r="M113" s="758"/>
      <c r="N113" s="805"/>
      <c r="O113" s="868"/>
      <c r="P113" s="868"/>
      <c r="Q113" s="868"/>
      <c r="R113" s="868"/>
      <c r="S113" s="758"/>
      <c r="T113" s="758"/>
      <c r="U113" s="758"/>
      <c r="V113" s="758"/>
      <c r="W113" s="758"/>
      <c r="X113" s="758"/>
      <c r="Y113" s="910"/>
      <c r="Z113" s="761"/>
      <c r="AA113" s="764"/>
      <c r="AB113" s="761"/>
      <c r="AC113" s="761"/>
      <c r="AD113" s="761"/>
    </row>
    <row r="114" spans="1:30" ht="9" customHeight="1">
      <c r="A114" s="760"/>
      <c r="B114" s="760"/>
      <c r="C114" s="758"/>
      <c r="D114" s="758"/>
      <c r="E114" s="758"/>
      <c r="F114" s="758"/>
      <c r="G114" s="758"/>
      <c r="H114" s="806"/>
      <c r="I114" s="806"/>
      <c r="J114" s="806"/>
      <c r="K114" s="806"/>
      <c r="L114" s="806"/>
      <c r="M114" s="758"/>
      <c r="N114" s="805"/>
      <c r="O114" s="868"/>
      <c r="P114" s="868"/>
      <c r="Q114" s="868"/>
      <c r="R114" s="868"/>
      <c r="S114" s="758"/>
      <c r="T114" s="758"/>
      <c r="U114" s="758"/>
      <c r="V114" s="758"/>
      <c r="W114" s="758"/>
      <c r="X114" s="758"/>
      <c r="Y114" s="910"/>
      <c r="Z114" s="761"/>
      <c r="AA114" s="764"/>
      <c r="AB114" s="761"/>
      <c r="AC114" s="761"/>
      <c r="AD114" s="761"/>
    </row>
    <row r="115" spans="1:30" ht="9" customHeight="1">
      <c r="A115" s="760"/>
      <c r="B115" s="760"/>
      <c r="C115" s="758"/>
      <c r="D115" s="758"/>
      <c r="E115" s="758"/>
      <c r="F115" s="758"/>
      <c r="G115" s="758"/>
      <c r="H115" s="806"/>
      <c r="I115" s="806"/>
      <c r="J115" s="806"/>
      <c r="K115" s="806"/>
      <c r="L115" s="806"/>
      <c r="M115" s="758"/>
      <c r="N115" s="805"/>
      <c r="O115" s="868"/>
      <c r="P115" s="868"/>
      <c r="Q115" s="868"/>
      <c r="R115" s="868"/>
      <c r="S115" s="758"/>
      <c r="T115" s="758"/>
      <c r="U115" s="758"/>
      <c r="V115" s="758"/>
      <c r="W115" s="758"/>
      <c r="X115" s="758"/>
      <c r="Y115" s="910"/>
      <c r="Z115" s="761"/>
      <c r="AA115" s="764"/>
      <c r="AB115" s="761"/>
      <c r="AC115" s="761"/>
      <c r="AD115" s="761"/>
    </row>
    <row r="116" spans="1:30" ht="9" customHeight="1">
      <c r="A116" s="760"/>
      <c r="B116" s="760"/>
      <c r="C116" s="758"/>
      <c r="D116" s="758"/>
      <c r="E116" s="758"/>
      <c r="F116" s="758"/>
      <c r="G116" s="758"/>
      <c r="H116" s="806"/>
      <c r="I116" s="806"/>
      <c r="J116" s="806"/>
      <c r="K116" s="806"/>
      <c r="L116" s="806"/>
      <c r="M116" s="758"/>
      <c r="N116" s="805"/>
      <c r="O116" s="868"/>
      <c r="P116" s="868"/>
      <c r="Q116" s="868"/>
      <c r="R116" s="868"/>
      <c r="S116" s="758"/>
      <c r="T116" s="758"/>
      <c r="U116" s="758"/>
      <c r="V116" s="758"/>
      <c r="W116" s="758"/>
      <c r="X116" s="758"/>
      <c r="Y116" s="910"/>
      <c r="Z116" s="761"/>
      <c r="AA116" s="764"/>
      <c r="AB116" s="761"/>
      <c r="AC116" s="761"/>
      <c r="AD116" s="761"/>
    </row>
    <row r="117" spans="1:30" ht="9" customHeight="1">
      <c r="A117" s="760"/>
      <c r="B117" s="760"/>
      <c r="C117" s="758"/>
      <c r="D117" s="758"/>
      <c r="E117" s="758"/>
      <c r="F117" s="758"/>
      <c r="G117" s="758"/>
      <c r="H117" s="806"/>
      <c r="I117" s="806"/>
      <c r="J117" s="806"/>
      <c r="K117" s="806"/>
      <c r="L117" s="806"/>
      <c r="M117" s="758"/>
      <c r="N117" s="805"/>
      <c r="O117" s="868"/>
      <c r="P117" s="868"/>
      <c r="Q117" s="868"/>
      <c r="R117" s="868"/>
      <c r="S117" s="758"/>
      <c r="T117" s="758"/>
      <c r="U117" s="758"/>
      <c r="V117" s="758"/>
      <c r="W117" s="758"/>
      <c r="X117" s="758"/>
      <c r="Y117" s="910"/>
      <c r="Z117" s="761"/>
      <c r="AA117" s="764"/>
      <c r="AB117" s="761"/>
      <c r="AC117" s="761"/>
      <c r="AD117" s="761"/>
    </row>
    <row r="118" spans="1:30" ht="9" customHeight="1">
      <c r="A118" s="760"/>
      <c r="B118" s="760"/>
      <c r="C118" s="758"/>
      <c r="D118" s="758"/>
      <c r="E118" s="758"/>
      <c r="F118" s="758"/>
      <c r="G118" s="758"/>
      <c r="H118" s="806"/>
      <c r="I118" s="806"/>
      <c r="J118" s="806"/>
      <c r="K118" s="806"/>
      <c r="L118" s="806"/>
      <c r="M118" s="758"/>
      <c r="N118" s="805"/>
      <c r="O118" s="868"/>
      <c r="P118" s="868"/>
      <c r="Q118" s="868"/>
      <c r="R118" s="868"/>
      <c r="S118" s="758"/>
      <c r="T118" s="758"/>
      <c r="U118" s="758"/>
      <c r="V118" s="758"/>
      <c r="W118" s="758"/>
      <c r="X118" s="758"/>
      <c r="Y118" s="910"/>
      <c r="Z118" s="761"/>
      <c r="AA118" s="764"/>
      <c r="AB118" s="761"/>
      <c r="AC118" s="761"/>
      <c r="AD118" s="761"/>
    </row>
    <row r="119" spans="1:30" ht="9" customHeight="1">
      <c r="A119" s="760"/>
      <c r="B119" s="760"/>
      <c r="C119" s="758"/>
      <c r="D119" s="758"/>
      <c r="E119" s="758"/>
      <c r="F119" s="758"/>
      <c r="G119" s="758"/>
      <c r="H119" s="806"/>
      <c r="I119" s="806"/>
      <c r="J119" s="806"/>
      <c r="K119" s="806"/>
      <c r="L119" s="806"/>
      <c r="M119" s="758"/>
      <c r="N119" s="805"/>
      <c r="O119" s="868"/>
      <c r="P119" s="868"/>
      <c r="Q119" s="868"/>
      <c r="R119" s="868"/>
      <c r="S119" s="758"/>
      <c r="T119" s="758"/>
      <c r="U119" s="758"/>
      <c r="V119" s="758"/>
      <c r="W119" s="758"/>
      <c r="X119" s="758"/>
      <c r="Y119" s="910"/>
      <c r="Z119" s="761"/>
      <c r="AA119" s="764"/>
      <c r="AB119" s="761"/>
      <c r="AC119" s="761"/>
      <c r="AD119" s="761"/>
    </row>
    <row r="120" spans="1:30" ht="9" customHeight="1">
      <c r="A120" s="760"/>
      <c r="B120" s="760"/>
      <c r="C120" s="758"/>
      <c r="D120" s="758"/>
      <c r="E120" s="758"/>
      <c r="F120" s="758"/>
      <c r="G120" s="758"/>
      <c r="H120" s="806"/>
      <c r="I120" s="806"/>
      <c r="J120" s="806"/>
      <c r="K120" s="806"/>
      <c r="L120" s="806"/>
      <c r="M120" s="758"/>
      <c r="N120" s="805"/>
      <c r="O120" s="868"/>
      <c r="P120" s="868"/>
      <c r="Q120" s="868"/>
      <c r="R120" s="868"/>
      <c r="S120" s="758"/>
      <c r="T120" s="758"/>
      <c r="U120" s="758"/>
      <c r="V120" s="758"/>
      <c r="W120" s="758"/>
      <c r="X120" s="758"/>
      <c r="Y120" s="910"/>
      <c r="Z120" s="761"/>
      <c r="AA120" s="764"/>
      <c r="AB120" s="761"/>
      <c r="AC120" s="761"/>
      <c r="AD120" s="761"/>
    </row>
    <row r="121" spans="1:30" ht="9" customHeight="1">
      <c r="A121" s="760"/>
      <c r="B121" s="760"/>
      <c r="C121" s="758"/>
      <c r="D121" s="758"/>
      <c r="E121" s="758"/>
      <c r="F121" s="758"/>
      <c r="G121" s="758"/>
      <c r="H121" s="806"/>
      <c r="I121" s="806"/>
      <c r="J121" s="806"/>
      <c r="K121" s="806"/>
      <c r="L121" s="806"/>
      <c r="M121" s="758"/>
      <c r="N121" s="805"/>
      <c r="O121" s="868"/>
      <c r="P121" s="868"/>
      <c r="Q121" s="868"/>
      <c r="R121" s="868"/>
      <c r="S121" s="758"/>
      <c r="T121" s="758"/>
      <c r="U121" s="758"/>
      <c r="V121" s="758"/>
      <c r="W121" s="758"/>
      <c r="X121" s="758"/>
      <c r="Y121" s="910"/>
      <c r="Z121" s="761"/>
      <c r="AA121" s="764"/>
      <c r="AB121" s="761"/>
      <c r="AC121" s="761"/>
      <c r="AD121" s="761"/>
    </row>
    <row r="122" spans="1:30" ht="9" customHeight="1">
      <c r="A122" s="760"/>
      <c r="B122" s="760"/>
      <c r="C122" s="758"/>
      <c r="D122" s="758"/>
      <c r="E122" s="758"/>
      <c r="F122" s="758"/>
      <c r="G122" s="758"/>
      <c r="H122" s="806"/>
      <c r="I122" s="806"/>
      <c r="J122" s="806"/>
      <c r="K122" s="806"/>
      <c r="L122" s="806"/>
      <c r="M122" s="758"/>
      <c r="N122" s="805"/>
      <c r="O122" s="868"/>
      <c r="P122" s="868"/>
      <c r="Q122" s="868"/>
      <c r="R122" s="868"/>
      <c r="S122" s="758"/>
      <c r="T122" s="758"/>
      <c r="U122" s="758"/>
      <c r="V122" s="758"/>
      <c r="W122" s="758"/>
      <c r="X122" s="758"/>
      <c r="Y122" s="910"/>
      <c r="Z122" s="761"/>
      <c r="AA122" s="764"/>
      <c r="AB122" s="761"/>
      <c r="AC122" s="761"/>
      <c r="AD122" s="761"/>
    </row>
    <row r="123" spans="1:30" ht="9" customHeight="1">
      <c r="A123" s="760"/>
      <c r="B123" s="760"/>
      <c r="C123" s="758"/>
      <c r="D123" s="758"/>
      <c r="E123" s="758"/>
      <c r="F123" s="758"/>
      <c r="G123" s="758"/>
      <c r="H123" s="806"/>
      <c r="I123" s="806"/>
      <c r="J123" s="806"/>
      <c r="K123" s="806"/>
      <c r="L123" s="806"/>
      <c r="M123" s="758"/>
      <c r="N123" s="805"/>
      <c r="O123" s="868"/>
      <c r="P123" s="868"/>
      <c r="Q123" s="868"/>
      <c r="R123" s="868"/>
      <c r="S123" s="758"/>
      <c r="T123" s="758"/>
      <c r="U123" s="758"/>
      <c r="V123" s="758"/>
      <c r="W123" s="758"/>
      <c r="X123" s="758"/>
      <c r="Y123" s="910"/>
      <c r="Z123" s="761"/>
      <c r="AA123" s="764"/>
      <c r="AB123" s="761"/>
      <c r="AC123" s="761"/>
      <c r="AD123" s="761"/>
    </row>
    <row r="124" spans="1:30" ht="9" customHeight="1">
      <c r="A124" s="760"/>
      <c r="B124" s="760"/>
      <c r="C124" s="758"/>
      <c r="D124" s="758"/>
      <c r="E124" s="758"/>
      <c r="F124" s="758"/>
      <c r="G124" s="758"/>
      <c r="H124" s="806"/>
      <c r="I124" s="806"/>
      <c r="J124" s="806"/>
      <c r="K124" s="806"/>
      <c r="L124" s="806"/>
      <c r="M124" s="758"/>
      <c r="N124" s="805"/>
      <c r="O124" s="868"/>
      <c r="P124" s="868"/>
      <c r="Q124" s="868"/>
      <c r="R124" s="868"/>
      <c r="S124" s="758"/>
      <c r="T124" s="758"/>
      <c r="U124" s="758"/>
      <c r="V124" s="758"/>
      <c r="W124" s="758"/>
      <c r="X124" s="758"/>
      <c r="Y124" s="910"/>
      <c r="Z124" s="761"/>
      <c r="AA124" s="764"/>
      <c r="AB124" s="761"/>
      <c r="AC124" s="761"/>
      <c r="AD124" s="761"/>
    </row>
    <row r="125" spans="1:30" ht="9" customHeight="1">
      <c r="A125" s="760"/>
      <c r="B125" s="760"/>
      <c r="C125" s="758"/>
      <c r="D125" s="758"/>
      <c r="E125" s="758"/>
      <c r="F125" s="758"/>
      <c r="G125" s="758"/>
      <c r="H125" s="806"/>
      <c r="I125" s="806"/>
      <c r="J125" s="806"/>
      <c r="K125" s="806"/>
      <c r="L125" s="806"/>
      <c r="M125" s="758"/>
      <c r="N125" s="805"/>
      <c r="O125" s="868"/>
      <c r="P125" s="868"/>
      <c r="Q125" s="868"/>
      <c r="R125" s="868"/>
      <c r="S125" s="758"/>
      <c r="T125" s="758"/>
      <c r="U125" s="758"/>
      <c r="V125" s="758"/>
      <c r="W125" s="758"/>
      <c r="X125" s="758"/>
      <c r="Y125" s="910"/>
      <c r="Z125" s="761"/>
      <c r="AA125" s="764"/>
      <c r="AB125" s="761"/>
      <c r="AC125" s="761"/>
      <c r="AD125" s="761"/>
    </row>
    <row r="126" spans="1:30" ht="9" customHeight="1">
      <c r="A126" s="760"/>
      <c r="B126" s="760"/>
      <c r="C126" s="758"/>
      <c r="D126" s="758"/>
      <c r="E126" s="758"/>
      <c r="F126" s="758"/>
      <c r="G126" s="758"/>
      <c r="H126" s="806"/>
      <c r="I126" s="806"/>
      <c r="J126" s="806"/>
      <c r="K126" s="806"/>
      <c r="L126" s="806"/>
      <c r="M126" s="758"/>
      <c r="N126" s="805"/>
      <c r="O126" s="868"/>
      <c r="P126" s="868"/>
      <c r="Q126" s="868"/>
      <c r="R126" s="868"/>
      <c r="S126" s="758"/>
      <c r="T126" s="758"/>
      <c r="U126" s="758"/>
      <c r="V126" s="758"/>
      <c r="W126" s="758"/>
      <c r="X126" s="758"/>
      <c r="Y126" s="910"/>
      <c r="Z126" s="761"/>
      <c r="AA126" s="764"/>
      <c r="AB126" s="761"/>
      <c r="AC126" s="761"/>
      <c r="AD126" s="761"/>
    </row>
    <row r="127" spans="1:30" ht="9" customHeight="1">
      <c r="A127" s="760"/>
      <c r="B127" s="760"/>
      <c r="C127" s="758"/>
      <c r="D127" s="758"/>
      <c r="E127" s="758"/>
      <c r="F127" s="758"/>
      <c r="G127" s="758"/>
      <c r="H127" s="806"/>
      <c r="I127" s="806"/>
      <c r="J127" s="806"/>
      <c r="K127" s="806"/>
      <c r="L127" s="806"/>
      <c r="M127" s="758"/>
      <c r="N127" s="805"/>
      <c r="O127" s="868"/>
      <c r="P127" s="868"/>
      <c r="Q127" s="868"/>
      <c r="R127" s="868"/>
      <c r="S127" s="758"/>
      <c r="T127" s="758"/>
      <c r="U127" s="758"/>
      <c r="V127" s="758"/>
      <c r="W127" s="758"/>
      <c r="X127" s="758"/>
      <c r="Y127" s="910"/>
      <c r="Z127" s="761"/>
      <c r="AA127" s="764"/>
      <c r="AB127" s="761"/>
      <c r="AC127" s="761"/>
      <c r="AD127" s="761"/>
    </row>
    <row r="128" spans="1:30" ht="9" customHeight="1">
      <c r="A128" s="760"/>
      <c r="B128" s="760"/>
      <c r="C128" s="758"/>
      <c r="D128" s="758"/>
      <c r="E128" s="758"/>
      <c r="F128" s="758"/>
      <c r="G128" s="758"/>
      <c r="H128" s="806"/>
      <c r="I128" s="806"/>
      <c r="J128" s="806"/>
      <c r="K128" s="806"/>
      <c r="L128" s="806"/>
      <c r="M128" s="758"/>
      <c r="N128" s="805"/>
      <c r="O128" s="868"/>
      <c r="P128" s="868"/>
      <c r="Q128" s="868"/>
      <c r="R128" s="868"/>
      <c r="S128" s="758"/>
      <c r="T128" s="758"/>
      <c r="U128" s="758"/>
      <c r="V128" s="758"/>
      <c r="W128" s="758"/>
      <c r="X128" s="758"/>
      <c r="Y128" s="910"/>
      <c r="Z128" s="761"/>
      <c r="AA128" s="764"/>
      <c r="AB128" s="761"/>
      <c r="AC128" s="761"/>
      <c r="AD128" s="761"/>
    </row>
    <row r="129" spans="1:30" ht="9" customHeight="1">
      <c r="A129" s="760"/>
      <c r="B129" s="760"/>
      <c r="C129" s="758"/>
      <c r="D129" s="758"/>
      <c r="E129" s="758"/>
      <c r="F129" s="758"/>
      <c r="G129" s="758"/>
      <c r="H129" s="806"/>
      <c r="I129" s="806"/>
      <c r="J129" s="806"/>
      <c r="K129" s="806"/>
      <c r="L129" s="806"/>
      <c r="M129" s="758"/>
      <c r="N129" s="805"/>
      <c r="O129" s="868"/>
      <c r="P129" s="868"/>
      <c r="Q129" s="868"/>
      <c r="R129" s="868"/>
      <c r="S129" s="758"/>
      <c r="T129" s="758"/>
      <c r="U129" s="758"/>
      <c r="V129" s="758"/>
      <c r="W129" s="758"/>
      <c r="X129" s="758"/>
      <c r="Y129" s="910"/>
      <c r="Z129" s="761"/>
      <c r="AA129" s="764"/>
      <c r="AB129" s="761"/>
      <c r="AC129" s="761"/>
      <c r="AD129" s="761"/>
    </row>
    <row r="130" spans="1:30" ht="9" customHeight="1">
      <c r="A130" s="760"/>
      <c r="B130" s="760"/>
      <c r="C130" s="758"/>
      <c r="D130" s="758"/>
      <c r="E130" s="758"/>
      <c r="F130" s="758"/>
      <c r="G130" s="758"/>
      <c r="H130" s="806"/>
      <c r="I130" s="806"/>
      <c r="J130" s="806"/>
      <c r="K130" s="806"/>
      <c r="L130" s="806"/>
      <c r="M130" s="758"/>
      <c r="N130" s="805"/>
      <c r="O130" s="870"/>
      <c r="P130" s="870"/>
      <c r="Q130" s="870"/>
      <c r="R130" s="870"/>
      <c r="S130" s="758"/>
      <c r="T130" s="758"/>
      <c r="U130" s="758"/>
      <c r="V130" s="758"/>
      <c r="W130" s="758"/>
      <c r="X130" s="758"/>
      <c r="Y130" s="910"/>
      <c r="Z130" s="761"/>
      <c r="AA130" s="764"/>
      <c r="AB130" s="761"/>
      <c r="AC130" s="761"/>
      <c r="AD130" s="761"/>
    </row>
    <row r="131" spans="1:30" ht="9" customHeight="1">
      <c r="A131" s="760"/>
      <c r="B131" s="760"/>
      <c r="C131" s="758"/>
      <c r="D131" s="758"/>
      <c r="E131" s="758"/>
      <c r="F131" s="758"/>
      <c r="G131" s="758"/>
      <c r="H131" s="806"/>
      <c r="I131" s="806"/>
      <c r="J131" s="806"/>
      <c r="K131" s="806"/>
      <c r="L131" s="806"/>
      <c r="M131" s="758"/>
      <c r="N131" s="805"/>
      <c r="O131" s="871"/>
      <c r="P131" s="871"/>
      <c r="Q131" s="871"/>
      <c r="R131" s="871"/>
      <c r="S131" s="758"/>
      <c r="T131" s="758"/>
      <c r="U131" s="758"/>
      <c r="V131" s="758"/>
      <c r="W131" s="758"/>
      <c r="X131" s="758"/>
      <c r="Y131" s="910"/>
      <c r="Z131" s="761"/>
      <c r="AA131" s="764"/>
      <c r="AB131" s="761"/>
      <c r="AC131" s="761"/>
      <c r="AD131" s="761"/>
    </row>
    <row r="132" spans="1:30" ht="9" customHeight="1">
      <c r="A132" s="760"/>
      <c r="B132" s="760"/>
      <c r="C132" s="758"/>
      <c r="D132" s="758"/>
      <c r="E132" s="758"/>
      <c r="F132" s="758"/>
      <c r="G132" s="758"/>
      <c r="H132" s="806"/>
      <c r="I132" s="806"/>
      <c r="J132" s="806"/>
      <c r="K132" s="806"/>
      <c r="L132" s="806"/>
      <c r="M132" s="758"/>
      <c r="N132" s="805"/>
      <c r="O132" s="870"/>
      <c r="P132" s="870"/>
      <c r="Q132" s="870"/>
      <c r="R132" s="870"/>
      <c r="S132" s="758"/>
      <c r="T132" s="758"/>
      <c r="U132" s="758"/>
      <c r="V132" s="758"/>
      <c r="W132" s="758"/>
      <c r="X132" s="758"/>
      <c r="Y132" s="910"/>
      <c r="Z132" s="761"/>
      <c r="AA132" s="764"/>
      <c r="AB132" s="761"/>
      <c r="AC132" s="761"/>
      <c r="AD132" s="761"/>
    </row>
    <row r="133" spans="1:30" ht="9" customHeight="1">
      <c r="A133" s="760"/>
      <c r="B133" s="760"/>
      <c r="C133" s="758"/>
      <c r="D133" s="758"/>
      <c r="E133" s="758"/>
      <c r="F133" s="758"/>
      <c r="G133" s="758"/>
      <c r="H133" s="806"/>
      <c r="I133" s="806"/>
      <c r="J133" s="806"/>
      <c r="K133" s="806"/>
      <c r="L133" s="806"/>
      <c r="M133" s="758"/>
      <c r="N133" s="805"/>
      <c r="O133" s="871"/>
      <c r="P133" s="871"/>
      <c r="Q133" s="871"/>
      <c r="R133" s="871"/>
      <c r="S133" s="758"/>
      <c r="T133" s="758"/>
      <c r="U133" s="758"/>
      <c r="V133" s="758"/>
      <c r="W133" s="758"/>
      <c r="X133" s="758"/>
      <c r="Y133" s="910"/>
      <c r="Z133" s="761"/>
      <c r="AA133" s="764"/>
      <c r="AB133" s="761"/>
      <c r="AC133" s="761"/>
      <c r="AD133" s="761"/>
    </row>
    <row r="134" spans="1:30" ht="9" customHeight="1">
      <c r="A134" s="760"/>
      <c r="B134" s="760"/>
      <c r="C134" s="758"/>
      <c r="D134" s="758"/>
      <c r="E134" s="758"/>
      <c r="F134" s="758"/>
      <c r="G134" s="758"/>
      <c r="H134" s="806"/>
      <c r="I134" s="806"/>
      <c r="J134" s="806"/>
      <c r="K134" s="806"/>
      <c r="L134" s="806"/>
      <c r="M134" s="758"/>
      <c r="N134" s="805"/>
      <c r="O134" s="868"/>
      <c r="P134" s="868"/>
      <c r="Q134" s="868"/>
      <c r="R134" s="868"/>
      <c r="S134" s="758"/>
      <c r="T134" s="758"/>
      <c r="U134" s="758"/>
      <c r="V134" s="758"/>
      <c r="W134" s="758"/>
      <c r="X134" s="758"/>
      <c r="Y134" s="910"/>
      <c r="Z134" s="761"/>
      <c r="AA134" s="764"/>
      <c r="AB134" s="761"/>
      <c r="AC134" s="761"/>
      <c r="AD134" s="761"/>
    </row>
    <row r="135" spans="1:30" ht="9" customHeight="1">
      <c r="A135" s="760"/>
      <c r="B135" s="760"/>
      <c r="C135" s="758"/>
      <c r="D135" s="758"/>
      <c r="E135" s="758"/>
      <c r="F135" s="758"/>
      <c r="G135" s="758"/>
      <c r="H135" s="806"/>
      <c r="I135" s="806"/>
      <c r="J135" s="806"/>
      <c r="K135" s="806"/>
      <c r="L135" s="806"/>
      <c r="M135" s="758"/>
      <c r="N135" s="805"/>
      <c r="O135" s="868"/>
      <c r="P135" s="868"/>
      <c r="Q135" s="868"/>
      <c r="R135" s="868"/>
      <c r="S135" s="758"/>
      <c r="T135" s="758"/>
      <c r="U135" s="758"/>
      <c r="V135" s="758"/>
      <c r="W135" s="758"/>
      <c r="X135" s="758"/>
      <c r="Y135" s="910"/>
      <c r="Z135" s="761"/>
      <c r="AA135" s="764"/>
      <c r="AB135" s="761"/>
      <c r="AC135" s="761"/>
      <c r="AD135" s="761"/>
    </row>
    <row r="136" spans="1:30" ht="9" customHeight="1">
      <c r="A136" s="760"/>
      <c r="B136" s="760"/>
      <c r="C136" s="758"/>
      <c r="D136" s="758"/>
      <c r="E136" s="758"/>
      <c r="F136" s="758"/>
      <c r="G136" s="758"/>
      <c r="H136" s="806"/>
      <c r="I136" s="806"/>
      <c r="J136" s="806"/>
      <c r="K136" s="806"/>
      <c r="L136" s="806"/>
      <c r="M136" s="758"/>
      <c r="N136" s="805"/>
      <c r="O136" s="868"/>
      <c r="P136" s="868"/>
      <c r="Q136" s="868"/>
      <c r="R136" s="868"/>
      <c r="S136" s="758"/>
      <c r="T136" s="758"/>
      <c r="U136" s="758"/>
      <c r="V136" s="758"/>
      <c r="W136" s="758"/>
      <c r="X136" s="758"/>
      <c r="Y136" s="910"/>
      <c r="Z136" s="761"/>
      <c r="AA136" s="764"/>
      <c r="AB136" s="761"/>
      <c r="AC136" s="761"/>
      <c r="AD136" s="761"/>
    </row>
    <row r="137" spans="1:30" ht="9" customHeight="1">
      <c r="A137" s="760"/>
      <c r="B137" s="760"/>
      <c r="C137" s="758"/>
      <c r="D137" s="758"/>
      <c r="E137" s="758"/>
      <c r="F137" s="758"/>
      <c r="G137" s="758"/>
      <c r="H137" s="806"/>
      <c r="I137" s="806"/>
      <c r="J137" s="806"/>
      <c r="K137" s="806"/>
      <c r="L137" s="806"/>
      <c r="M137" s="758"/>
      <c r="N137" s="805"/>
      <c r="O137" s="872"/>
      <c r="P137" s="872"/>
      <c r="Q137" s="872"/>
      <c r="R137" s="872"/>
      <c r="S137" s="758"/>
      <c r="T137" s="758"/>
      <c r="U137" s="758"/>
      <c r="V137" s="758"/>
      <c r="W137" s="758"/>
      <c r="X137" s="758"/>
      <c r="Y137" s="910"/>
      <c r="Z137" s="761"/>
      <c r="AA137" s="764"/>
      <c r="AB137" s="761"/>
      <c r="AC137" s="761"/>
      <c r="AD137" s="761"/>
    </row>
    <row r="138" spans="1:30" ht="9" customHeight="1">
      <c r="A138" s="760"/>
      <c r="B138" s="760"/>
      <c r="C138" s="758"/>
      <c r="D138" s="758"/>
      <c r="E138" s="758"/>
      <c r="F138" s="758"/>
      <c r="G138" s="758"/>
      <c r="H138" s="806"/>
      <c r="I138" s="806"/>
      <c r="J138" s="806"/>
      <c r="K138" s="806"/>
      <c r="L138" s="806"/>
      <c r="M138" s="758"/>
      <c r="N138" s="805"/>
      <c r="O138" s="869"/>
      <c r="P138" s="869"/>
      <c r="Q138" s="869"/>
      <c r="R138" s="869"/>
      <c r="S138" s="758"/>
      <c r="T138" s="758"/>
      <c r="U138" s="758"/>
      <c r="V138" s="758"/>
      <c r="W138" s="758"/>
      <c r="X138" s="758"/>
      <c r="Y138" s="910"/>
      <c r="Z138" s="761"/>
      <c r="AA138" s="764"/>
      <c r="AB138" s="761"/>
      <c r="AC138" s="761"/>
      <c r="AD138" s="761"/>
    </row>
    <row r="139" spans="1:30" ht="9" customHeight="1">
      <c r="A139" s="760"/>
      <c r="B139" s="760"/>
      <c r="C139" s="758"/>
      <c r="D139" s="758"/>
      <c r="E139" s="758"/>
      <c r="F139" s="758"/>
      <c r="G139" s="758"/>
      <c r="H139" s="806"/>
      <c r="I139" s="806"/>
      <c r="J139" s="806"/>
      <c r="K139" s="806"/>
      <c r="L139" s="806"/>
      <c r="M139" s="758"/>
      <c r="N139" s="805"/>
      <c r="O139" s="758"/>
      <c r="P139" s="758"/>
      <c r="Q139" s="758"/>
      <c r="R139" s="758"/>
      <c r="S139" s="758"/>
      <c r="T139" s="758"/>
      <c r="U139" s="758"/>
      <c r="V139" s="758"/>
      <c r="W139" s="758"/>
      <c r="X139" s="758"/>
      <c r="Y139" s="910"/>
      <c r="Z139" s="761"/>
      <c r="AA139" s="764"/>
      <c r="AB139" s="761"/>
      <c r="AC139" s="761"/>
      <c r="AD139" s="761"/>
    </row>
    <row r="140" spans="1:30" ht="9" customHeight="1">
      <c r="A140" s="760"/>
      <c r="B140" s="760"/>
      <c r="C140" s="758"/>
      <c r="D140" s="758"/>
      <c r="E140" s="758"/>
      <c r="F140" s="758"/>
      <c r="G140" s="758"/>
      <c r="H140" s="806"/>
      <c r="I140" s="806"/>
      <c r="J140" s="806"/>
      <c r="K140" s="806"/>
      <c r="L140" s="806"/>
      <c r="M140" s="758"/>
      <c r="N140" s="805"/>
      <c r="O140" s="758"/>
      <c r="P140" s="758"/>
      <c r="Q140" s="758"/>
      <c r="R140" s="758"/>
      <c r="S140" s="758"/>
      <c r="T140" s="758"/>
      <c r="U140" s="758"/>
      <c r="V140" s="758"/>
      <c r="W140" s="758"/>
      <c r="X140" s="758"/>
      <c r="Y140" s="910"/>
      <c r="Z140" s="761"/>
      <c r="AA140" s="764"/>
      <c r="AB140" s="761"/>
      <c r="AC140" s="761"/>
      <c r="AD140" s="761"/>
    </row>
    <row r="141" spans="1:30" ht="9" customHeight="1">
      <c r="A141" s="760"/>
      <c r="B141" s="760"/>
      <c r="C141" s="758"/>
      <c r="D141" s="758"/>
      <c r="E141" s="758"/>
      <c r="F141" s="758"/>
      <c r="G141" s="758"/>
      <c r="H141" s="806"/>
      <c r="I141" s="806"/>
      <c r="J141" s="806"/>
      <c r="K141" s="806"/>
      <c r="L141" s="806"/>
      <c r="M141" s="758"/>
      <c r="N141" s="805"/>
      <c r="O141" s="758"/>
      <c r="P141" s="758"/>
      <c r="Q141" s="758"/>
      <c r="R141" s="758"/>
      <c r="S141" s="758"/>
      <c r="T141" s="758"/>
      <c r="U141" s="758"/>
      <c r="V141" s="758"/>
      <c r="W141" s="758"/>
      <c r="X141" s="758"/>
      <c r="Y141" s="910"/>
      <c r="Z141" s="761"/>
      <c r="AA141" s="764"/>
      <c r="AB141" s="761"/>
      <c r="AC141" s="761"/>
      <c r="AD141" s="761"/>
    </row>
    <row r="142" spans="1:30" ht="9" customHeight="1">
      <c r="A142" s="760"/>
      <c r="B142" s="760"/>
      <c r="C142" s="758"/>
      <c r="D142" s="758"/>
      <c r="E142" s="758"/>
      <c r="F142" s="758"/>
      <c r="G142" s="758"/>
      <c r="H142" s="806"/>
      <c r="I142" s="806"/>
      <c r="J142" s="806"/>
      <c r="K142" s="806"/>
      <c r="L142" s="806"/>
      <c r="M142" s="758"/>
      <c r="N142" s="805"/>
      <c r="O142" s="758"/>
      <c r="P142" s="758"/>
      <c r="Q142" s="758"/>
      <c r="R142" s="758"/>
      <c r="S142" s="758"/>
      <c r="T142" s="758"/>
      <c r="U142" s="758"/>
      <c r="V142" s="758"/>
      <c r="W142" s="758"/>
      <c r="X142" s="758"/>
      <c r="Y142" s="910"/>
      <c r="Z142" s="761"/>
      <c r="AA142" s="764"/>
      <c r="AB142" s="761"/>
      <c r="AC142" s="761"/>
      <c r="AD142" s="761"/>
    </row>
    <row r="143" spans="1:30" ht="9" customHeight="1">
      <c r="A143" s="760"/>
      <c r="B143" s="760"/>
      <c r="C143" s="758"/>
      <c r="D143" s="758"/>
      <c r="E143" s="758"/>
      <c r="F143" s="758"/>
      <c r="G143" s="758"/>
      <c r="H143" s="806"/>
      <c r="I143" s="806"/>
      <c r="J143" s="806"/>
      <c r="K143" s="806"/>
      <c r="L143" s="806"/>
      <c r="M143" s="758"/>
      <c r="N143" s="805"/>
      <c r="O143" s="758"/>
      <c r="P143" s="758"/>
      <c r="Q143" s="758"/>
      <c r="R143" s="758"/>
      <c r="S143" s="758"/>
      <c r="T143" s="758"/>
      <c r="U143" s="758"/>
      <c r="V143" s="758"/>
      <c r="W143" s="758"/>
      <c r="X143" s="758"/>
      <c r="Y143" s="910"/>
      <c r="Z143" s="761"/>
      <c r="AA143" s="764"/>
      <c r="AB143" s="761"/>
      <c r="AC143" s="761"/>
      <c r="AD143" s="761"/>
    </row>
    <row r="144" spans="1:30" ht="9" customHeight="1">
      <c r="A144" s="760"/>
      <c r="B144" s="760"/>
      <c r="C144" s="758"/>
      <c r="D144" s="758"/>
      <c r="E144" s="758"/>
      <c r="F144" s="758"/>
      <c r="G144" s="758"/>
      <c r="H144" s="806"/>
      <c r="I144" s="806"/>
      <c r="J144" s="806"/>
      <c r="K144" s="806"/>
      <c r="L144" s="806"/>
      <c r="M144" s="758"/>
      <c r="N144" s="805"/>
      <c r="O144" s="758"/>
      <c r="P144" s="758"/>
      <c r="Q144" s="758"/>
      <c r="R144" s="758"/>
      <c r="S144" s="758"/>
      <c r="T144" s="758"/>
      <c r="U144" s="758"/>
      <c r="V144" s="758"/>
      <c r="W144" s="758"/>
      <c r="X144" s="758"/>
      <c r="Y144" s="910"/>
      <c r="Z144" s="761"/>
      <c r="AA144" s="764"/>
      <c r="AB144" s="761"/>
      <c r="AC144" s="761"/>
      <c r="AD144" s="761"/>
    </row>
    <row r="145" spans="1:30" ht="9" customHeight="1">
      <c r="A145" s="760"/>
      <c r="B145" s="760"/>
      <c r="C145" s="758"/>
      <c r="D145" s="758"/>
      <c r="E145" s="758"/>
      <c r="F145" s="758"/>
      <c r="G145" s="758"/>
      <c r="H145" s="806"/>
      <c r="I145" s="806"/>
      <c r="J145" s="806"/>
      <c r="K145" s="806"/>
      <c r="L145" s="806"/>
      <c r="M145" s="758"/>
      <c r="N145" s="805"/>
      <c r="O145" s="758"/>
      <c r="P145" s="758"/>
      <c r="Q145" s="758"/>
      <c r="R145" s="758"/>
      <c r="S145" s="758"/>
      <c r="T145" s="758"/>
      <c r="U145" s="758"/>
      <c r="V145" s="758"/>
      <c r="W145" s="758"/>
      <c r="X145" s="758"/>
      <c r="Y145" s="910"/>
      <c r="Z145" s="761"/>
      <c r="AA145" s="764"/>
      <c r="AB145" s="761"/>
      <c r="AC145" s="761"/>
      <c r="AD145" s="761"/>
    </row>
    <row r="146" spans="1:30" ht="9" customHeight="1">
      <c r="A146" s="760"/>
      <c r="B146" s="760"/>
      <c r="C146" s="758"/>
      <c r="D146" s="758"/>
      <c r="E146" s="758"/>
      <c r="F146" s="758"/>
      <c r="G146" s="758"/>
      <c r="H146" s="806"/>
      <c r="I146" s="806"/>
      <c r="J146" s="806"/>
      <c r="K146" s="806"/>
      <c r="L146" s="806"/>
      <c r="M146" s="758"/>
      <c r="N146" s="805"/>
      <c r="O146" s="758"/>
      <c r="P146" s="758"/>
      <c r="Q146" s="758"/>
      <c r="R146" s="758"/>
      <c r="S146" s="758"/>
      <c r="T146" s="758"/>
      <c r="U146" s="758"/>
      <c r="V146" s="758"/>
      <c r="W146" s="758"/>
      <c r="X146" s="758"/>
      <c r="Y146" s="910"/>
      <c r="Z146" s="761"/>
      <c r="AA146" s="764"/>
      <c r="AB146" s="761"/>
      <c r="AC146" s="761"/>
      <c r="AD146" s="761"/>
    </row>
    <row r="147" spans="1:30" ht="9" customHeight="1">
      <c r="A147" s="760"/>
      <c r="B147" s="760"/>
      <c r="C147" s="760"/>
      <c r="D147" s="760"/>
      <c r="E147" s="760"/>
      <c r="F147" s="760"/>
      <c r="G147" s="760"/>
      <c r="H147" s="760"/>
      <c r="I147" s="760"/>
      <c r="J147" s="760"/>
      <c r="K147" s="760"/>
      <c r="L147" s="760"/>
      <c r="M147" s="760"/>
      <c r="N147" s="760"/>
      <c r="O147" s="760"/>
      <c r="P147" s="760"/>
      <c r="Q147" s="760"/>
      <c r="R147" s="760"/>
      <c r="S147" s="760"/>
      <c r="T147" s="760"/>
      <c r="U147" s="760"/>
      <c r="V147" s="760"/>
      <c r="W147" s="760"/>
      <c r="X147" s="760"/>
      <c r="Y147" s="760"/>
      <c r="Z147" s="760"/>
      <c r="AA147" s="760"/>
      <c r="AB147" s="760"/>
      <c r="AC147" s="760"/>
      <c r="AD147" s="760"/>
    </row>
    <row r="148" spans="1:30" ht="90" customHeight="1">
      <c r="A148" s="760" t="s">
        <v>1630</v>
      </c>
      <c r="B148" s="760"/>
      <c r="C148" s="758" t="s">
        <v>2105</v>
      </c>
      <c r="D148" s="758" t="s">
        <v>1533</v>
      </c>
      <c r="E148" s="758" t="s">
        <v>1632</v>
      </c>
      <c r="F148" s="758" t="s">
        <v>2106</v>
      </c>
      <c r="G148" s="758"/>
      <c r="H148" s="758"/>
      <c r="I148" s="874"/>
      <c r="J148" s="874"/>
      <c r="K148" s="874"/>
      <c r="L148" s="874"/>
      <c r="M148" s="808"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763"/>
      <c r="O148" s="758"/>
      <c r="P148" s="759"/>
      <c r="Q148" s="759"/>
      <c r="R148" s="759"/>
      <c r="S148" s="758"/>
      <c r="T148" s="758" t="s">
        <v>2107</v>
      </c>
      <c r="U148" s="759"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759"/>
      <c r="W148" s="759"/>
      <c r="X148" s="758" t="s">
        <v>2108</v>
      </c>
      <c r="Y148" s="910"/>
      <c r="Z148" s="761"/>
      <c r="AA148" s="764"/>
      <c r="AB148" s="761"/>
      <c r="AC148" s="761"/>
      <c r="AD148" s="761"/>
    </row>
    <row r="149" spans="1:30" ht="9" customHeight="1">
      <c r="A149" s="760"/>
      <c r="B149" s="760"/>
      <c r="C149" s="760"/>
      <c r="D149" s="760"/>
      <c r="E149" s="760"/>
      <c r="F149" s="760"/>
      <c r="G149" s="760"/>
      <c r="H149" s="760"/>
      <c r="I149" s="760"/>
      <c r="J149" s="760"/>
      <c r="K149" s="760"/>
      <c r="L149" s="760"/>
      <c r="M149" s="760"/>
      <c r="N149" s="760"/>
      <c r="O149" s="760"/>
      <c r="P149" s="760"/>
      <c r="Q149" s="760"/>
      <c r="R149" s="760"/>
      <c r="S149" s="760"/>
      <c r="T149" s="760"/>
      <c r="U149" s="760"/>
      <c r="V149" s="760"/>
      <c r="W149" s="760"/>
      <c r="X149" s="760"/>
      <c r="Y149" s="760"/>
      <c r="Z149" s="760"/>
      <c r="AA149" s="760"/>
      <c r="AB149" s="760"/>
      <c r="AC149" s="760"/>
      <c r="AD149" s="760"/>
    </row>
    <row r="150" spans="1:30" ht="9" customHeight="1">
      <c r="A150" s="760" t="s">
        <v>1634</v>
      </c>
      <c r="B150" s="760"/>
      <c r="C150" s="758"/>
      <c r="D150" s="758"/>
      <c r="E150" s="758"/>
      <c r="F150" s="758"/>
      <c r="G150" s="758"/>
      <c r="H150" s="758"/>
      <c r="I150" s="758"/>
      <c r="J150" s="758"/>
      <c r="K150" s="758"/>
      <c r="L150" s="758"/>
      <c r="M150" s="758"/>
      <c r="N150" s="758"/>
      <c r="O150" s="758"/>
      <c r="P150" s="758"/>
      <c r="Q150" s="758"/>
      <c r="R150" s="758"/>
      <c r="S150" s="758"/>
      <c r="T150" s="758"/>
      <c r="U150" s="758"/>
      <c r="V150" s="758"/>
      <c r="W150" s="758"/>
      <c r="X150" s="758"/>
      <c r="Y150" s="910"/>
      <c r="Z150" s="761"/>
      <c r="AA150" s="764"/>
      <c r="AB150" s="761"/>
      <c r="AC150" s="761"/>
      <c r="AD150" s="761"/>
    </row>
    <row r="151" spans="1:30" ht="9" customHeight="1">
      <c r="A151" s="760"/>
      <c r="B151" s="760"/>
      <c r="C151" s="760"/>
      <c r="D151" s="760"/>
      <c r="E151" s="760"/>
      <c r="F151" s="760"/>
      <c r="G151" s="760"/>
      <c r="H151" s="760"/>
      <c r="I151" s="760"/>
      <c r="J151" s="760"/>
      <c r="K151" s="760"/>
      <c r="L151" s="760"/>
      <c r="M151" s="760"/>
      <c r="N151" s="760"/>
      <c r="O151" s="760"/>
      <c r="P151" s="760"/>
      <c r="Q151" s="760"/>
      <c r="R151" s="760"/>
      <c r="S151" s="760"/>
      <c r="T151" s="760"/>
      <c r="U151" s="760"/>
      <c r="V151" s="760"/>
      <c r="W151" s="760"/>
      <c r="X151" s="760"/>
      <c r="Y151" s="760"/>
      <c r="Z151" s="760"/>
      <c r="AA151" s="760"/>
      <c r="AB151" s="760"/>
      <c r="AC151" s="760"/>
      <c r="AD151" s="760"/>
    </row>
    <row r="152" spans="1:30" ht="9" customHeight="1">
      <c r="A152" s="760" t="s">
        <v>1637</v>
      </c>
      <c r="B152" s="760"/>
      <c r="C152" s="758"/>
      <c r="D152" s="758"/>
      <c r="E152" s="758"/>
      <c r="F152" s="758"/>
      <c r="G152" s="758"/>
      <c r="H152" s="758"/>
      <c r="I152" s="758"/>
      <c r="J152" s="758"/>
      <c r="K152" s="758"/>
      <c r="L152" s="758"/>
      <c r="M152" s="758"/>
      <c r="N152" s="758"/>
      <c r="O152" s="758"/>
      <c r="P152" s="758"/>
      <c r="Q152" s="758"/>
      <c r="R152" s="758"/>
      <c r="S152" s="758"/>
      <c r="T152" s="758"/>
      <c r="U152" s="758"/>
      <c r="V152" s="758"/>
      <c r="W152" s="758"/>
      <c r="X152" s="758"/>
      <c r="Y152" s="910"/>
      <c r="Z152" s="761"/>
      <c r="AA152" s="764"/>
      <c r="AB152" s="761"/>
      <c r="AC152" s="761"/>
      <c r="AD152" s="761"/>
    </row>
    <row r="153" spans="1:30" ht="9" customHeight="1">
      <c r="A153" s="760"/>
      <c r="B153" s="760"/>
      <c r="C153" s="760"/>
      <c r="D153" s="760"/>
      <c r="E153" s="760"/>
      <c r="F153" s="760"/>
      <c r="G153" s="760"/>
      <c r="H153" s="760"/>
      <c r="I153" s="760"/>
      <c r="J153" s="760"/>
      <c r="K153" s="760"/>
      <c r="L153" s="760"/>
      <c r="M153" s="760"/>
      <c r="N153" s="760"/>
      <c r="O153" s="760"/>
      <c r="P153" s="760"/>
      <c r="Q153" s="760"/>
      <c r="R153" s="760"/>
      <c r="S153" s="760"/>
      <c r="T153" s="760"/>
      <c r="U153" s="760"/>
      <c r="V153" s="760"/>
      <c r="W153" s="760"/>
      <c r="X153" s="760"/>
      <c r="Y153" s="760"/>
      <c r="Z153" s="760"/>
      <c r="AA153" s="760"/>
      <c r="AB153" s="760"/>
      <c r="AC153" s="760"/>
      <c r="AD153" s="760"/>
    </row>
    <row r="154" spans="1:30" ht="9" customHeight="1">
      <c r="A154" s="760" t="s">
        <v>1642</v>
      </c>
      <c r="B154" s="760"/>
      <c r="C154" s="758"/>
      <c r="D154" s="758"/>
      <c r="E154" s="758"/>
      <c r="F154" s="758"/>
      <c r="G154" s="758"/>
      <c r="H154" s="758"/>
      <c r="I154" s="758"/>
      <c r="J154" s="758"/>
      <c r="K154" s="758"/>
      <c r="L154" s="758"/>
      <c r="M154" s="758"/>
      <c r="N154" s="758"/>
      <c r="O154" s="758"/>
      <c r="P154" s="758"/>
      <c r="Q154" s="758"/>
      <c r="R154" s="758"/>
      <c r="S154" s="758"/>
      <c r="T154" s="758"/>
      <c r="U154" s="758"/>
      <c r="V154" s="758"/>
      <c r="W154" s="758"/>
      <c r="X154" s="758"/>
      <c r="Y154" s="910"/>
      <c r="Z154" s="761"/>
      <c r="AA154" s="764"/>
      <c r="AB154" s="761"/>
      <c r="AC154" s="761"/>
      <c r="AD154" s="761"/>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I4"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2.28515625" style="1882" hidden="1" customWidth="1"/>
    <col min="6" max="8" width="12.28515625" style="1884" hidden="1" customWidth="1"/>
    <col min="9" max="9" width="3.7109375" style="1973" customWidth="1"/>
    <col min="10" max="11" width="3.7109375" style="1890" customWidth="1"/>
    <col min="12" max="12" width="12.7109375" style="1891" customWidth="1"/>
    <col min="13" max="13" width="32" style="1856" customWidth="1"/>
    <col min="14" max="14" width="1.7109375" style="1856" customWidth="1"/>
    <col min="15" max="18" width="24.7109375" style="1856" customWidth="1"/>
    <col min="19" max="19" width="11.7109375" style="1856" customWidth="1"/>
    <col min="20" max="20" width="3.7109375" style="1856" customWidth="1"/>
    <col min="21" max="21" width="11.7109375" style="1856" customWidth="1"/>
    <col min="22" max="22" width="8.5703125" style="1856" customWidth="1"/>
    <col min="23" max="23" width="4.7109375" style="1856" customWidth="1"/>
    <col min="24" max="24" width="115.7109375" style="1856" customWidth="1"/>
    <col min="25" max="26" width="10.5703125" style="1811"/>
    <col min="27" max="27" width="11.140625" style="1811" customWidth="1"/>
    <col min="28" max="29" width="10.5703125" style="1811"/>
  </cols>
  <sheetData>
    <row r="1" spans="1:29" ht="14.25" hidden="1" customHeight="1">
      <c r="R1" s="252"/>
      <c r="S1" s="252"/>
    </row>
    <row r="2" spans="1:29" ht="14.25" hidden="1" customHeight="1">
      <c r="V2" s="252"/>
    </row>
    <row r="3" spans="1:29" ht="14.25" hidden="1" customHeight="1"/>
    <row r="4" spans="1:29" ht="14.25" customHeight="1">
      <c r="J4" s="304"/>
      <c r="K4" s="304"/>
      <c r="L4" s="1197"/>
      <c r="M4" s="289"/>
      <c r="N4" s="289"/>
      <c r="O4" s="434"/>
      <c r="P4" s="434"/>
      <c r="Q4" s="434"/>
      <c r="R4" s="434"/>
      <c r="S4" s="434"/>
      <c r="T4" s="434"/>
      <c r="U4" s="434"/>
      <c r="V4" s="434"/>
    </row>
    <row r="5" spans="1:29" ht="64.5" customHeight="1">
      <c r="J5" s="304"/>
      <c r="K5" s="304"/>
      <c r="L5" s="2411" t="s">
        <v>2109</v>
      </c>
      <c r="M5" s="2411"/>
      <c r="N5" s="2411"/>
      <c r="O5" s="2411"/>
      <c r="P5" s="2411"/>
      <c r="Q5" s="2411"/>
      <c r="R5" s="2411"/>
      <c r="S5" s="2411"/>
      <c r="T5" s="2411"/>
      <c r="U5" s="2411"/>
      <c r="V5" s="1154"/>
    </row>
    <row r="6" spans="1:29" ht="14.25" customHeight="1">
      <c r="J6" s="304"/>
      <c r="K6" s="304"/>
      <c r="L6" s="2412" t="str">
        <f>IF(org=0,"Не определено",org)</f>
        <v>ООО "Горводоканал"</v>
      </c>
      <c r="M6" s="2412"/>
      <c r="N6" s="2412"/>
      <c r="O6" s="2412"/>
      <c r="P6" s="2412"/>
      <c r="Q6" s="2412"/>
      <c r="R6" s="2412"/>
      <c r="S6" s="2412"/>
      <c r="T6" s="2412"/>
      <c r="U6" s="2412"/>
      <c r="V6" s="1154"/>
    </row>
    <row r="7" spans="1:29" ht="14.25" customHeight="1">
      <c r="J7" s="304"/>
      <c r="K7" s="304"/>
      <c r="L7" s="1197"/>
      <c r="M7" s="289"/>
      <c r="N7" s="289"/>
      <c r="O7" s="245"/>
      <c r="P7" s="245"/>
      <c r="Q7" s="245"/>
      <c r="R7" s="245"/>
      <c r="S7" s="245"/>
      <c r="T7" s="245"/>
      <c r="U7" s="245"/>
      <c r="V7" s="245"/>
      <c r="W7" s="434"/>
    </row>
    <row r="8" spans="1:29" s="1887" customFormat="1" ht="45" customHeight="1">
      <c r="A8" s="1286"/>
      <c r="B8" s="1286"/>
      <c r="C8" s="1286"/>
      <c r="D8" s="1286"/>
      <c r="E8" s="1286"/>
      <c r="F8" s="1286"/>
      <c r="G8" s="1286"/>
      <c r="H8" s="1286"/>
      <c r="L8" s="1198"/>
      <c r="M8" s="212" t="s">
        <v>37</v>
      </c>
      <c r="N8" s="221"/>
      <c r="O8" s="2139" t="str">
        <f>IF(TITLE_NAME_OR_PR_CHANGE="",IF(TITLE_NAME_OR_PR="","",TITLE_NAME_OR_PR),TITLE_NAME_OR_PR_CHANGE)</f>
        <v/>
      </c>
      <c r="P8" s="2139"/>
      <c r="Q8" s="2139"/>
      <c r="R8" s="2139"/>
      <c r="S8" s="2139"/>
      <c r="T8" s="2139"/>
      <c r="U8" s="2139"/>
      <c r="V8" s="251"/>
      <c r="W8" s="251"/>
      <c r="X8" s="198"/>
      <c r="Y8" s="295"/>
      <c r="Z8" s="295"/>
      <c r="AA8" s="295"/>
      <c r="AB8" s="295"/>
      <c r="AC8" s="295"/>
    </row>
    <row r="9" spans="1:29" s="1887" customFormat="1" ht="22.5" customHeight="1">
      <c r="A9" s="1286"/>
      <c r="B9" s="1286"/>
      <c r="C9" s="1286"/>
      <c r="D9" s="1286"/>
      <c r="E9" s="1286"/>
      <c r="F9" s="1286"/>
      <c r="G9" s="1286"/>
      <c r="H9" s="1286"/>
      <c r="L9" s="1198"/>
      <c r="M9" s="212" t="s">
        <v>393</v>
      </c>
      <c r="N9" s="221"/>
      <c r="O9" s="2139" t="str">
        <f>IF(TITLE_DATE_CHANGE_PERIOD="",IF(TITLE_DATE_PR="","",TITLE_DATE_PR),TITLE_DATE_CHANGE_PERIOD)</f>
        <v/>
      </c>
      <c r="P9" s="2139"/>
      <c r="Q9" s="2139"/>
      <c r="R9" s="2139"/>
      <c r="S9" s="2139"/>
      <c r="T9" s="2139"/>
      <c r="U9" s="2139"/>
      <c r="V9" s="251"/>
      <c r="W9" s="251"/>
      <c r="X9" s="198"/>
      <c r="Y9" s="295"/>
      <c r="Z9" s="295"/>
      <c r="AA9" s="295"/>
      <c r="AB9" s="295"/>
      <c r="AC9" s="295"/>
    </row>
    <row r="10" spans="1:29" s="1887" customFormat="1" ht="22.5" customHeight="1">
      <c r="A10" s="1286"/>
      <c r="B10" s="1286"/>
      <c r="C10" s="1286"/>
      <c r="D10" s="1286"/>
      <c r="E10" s="1286"/>
      <c r="F10" s="1286"/>
      <c r="G10" s="1286"/>
      <c r="H10" s="1286"/>
      <c r="L10" s="1162"/>
      <c r="M10" s="212" t="s">
        <v>394</v>
      </c>
      <c r="N10" s="221"/>
      <c r="O10" s="2139" t="str">
        <f>IF(TITLE_NUMBER_PR_CHANGE="",IF(TITLE_NUMBER_PR="","",TITLE_NUMBER_PR),TITLE_NUMBER_PR_CHANGE)</f>
        <v/>
      </c>
      <c r="P10" s="2139"/>
      <c r="Q10" s="2139"/>
      <c r="R10" s="2139"/>
      <c r="S10" s="2139"/>
      <c r="T10" s="2139"/>
      <c r="U10" s="2139"/>
      <c r="V10" s="251"/>
      <c r="W10" s="251"/>
      <c r="X10" s="198"/>
      <c r="Y10" s="295"/>
      <c r="Z10" s="295"/>
      <c r="AA10" s="295"/>
      <c r="AB10" s="295"/>
      <c r="AC10" s="295"/>
    </row>
    <row r="11" spans="1:29" s="1887" customFormat="1" ht="22.5" customHeight="1">
      <c r="A11" s="1286"/>
      <c r="B11" s="1286"/>
      <c r="C11" s="1286"/>
      <c r="D11" s="1286"/>
      <c r="E11" s="1286"/>
      <c r="F11" s="1286"/>
      <c r="G11" s="1286"/>
      <c r="H11" s="1286"/>
      <c r="L11" s="1162"/>
      <c r="M11" s="212" t="s">
        <v>38</v>
      </c>
      <c r="N11" s="221"/>
      <c r="O11" s="2139" t="str">
        <f>IF(TITLE_IST_PUB_CHANGE="",IF(TITLE_IST_PUB="","",TITLE_IST_PUB),TITLE_IST_PUB_CHANGE)</f>
        <v/>
      </c>
      <c r="P11" s="2139"/>
      <c r="Q11" s="2139"/>
      <c r="R11" s="2139"/>
      <c r="S11" s="2139"/>
      <c r="T11" s="2139"/>
      <c r="U11" s="2139"/>
      <c r="V11" s="251"/>
      <c r="W11" s="251"/>
      <c r="X11" s="198"/>
      <c r="Y11" s="295"/>
      <c r="Z11" s="295"/>
      <c r="AA11" s="295"/>
      <c r="AB11" s="295"/>
      <c r="AC11" s="295"/>
    </row>
    <row r="12" spans="1:29" s="1887" customFormat="1" ht="11.25" hidden="1" customHeight="1">
      <c r="A12" s="1286"/>
      <c r="B12" s="1286"/>
      <c r="C12" s="1286"/>
      <c r="D12" s="1286"/>
      <c r="E12" s="1286"/>
      <c r="F12" s="1286"/>
      <c r="G12" s="1286"/>
      <c r="H12" s="1286"/>
      <c r="L12" s="2410"/>
      <c r="M12" s="2410"/>
      <c r="N12" s="1208"/>
      <c r="O12" s="251"/>
      <c r="P12" s="251"/>
      <c r="Q12" s="251"/>
      <c r="R12" s="251"/>
      <c r="S12" s="251"/>
      <c r="T12" s="251"/>
      <c r="U12" s="251"/>
      <c r="V12" s="196" t="s">
        <v>397</v>
      </c>
      <c r="Y12" s="295"/>
      <c r="Z12" s="295"/>
      <c r="AA12" s="295"/>
      <c r="AB12" s="295"/>
      <c r="AC12" s="295"/>
    </row>
    <row r="13" spans="1:29" ht="14.25" customHeight="1">
      <c r="J13" s="304"/>
      <c r="K13" s="304"/>
      <c r="L13" s="1197"/>
      <c r="M13" s="289"/>
      <c r="N13" s="1155"/>
      <c r="O13" s="2158"/>
      <c r="P13" s="2158"/>
      <c r="Q13" s="2158"/>
      <c r="R13" s="2158"/>
      <c r="S13" s="2158"/>
      <c r="T13" s="2158"/>
      <c r="U13" s="2158"/>
      <c r="V13" s="2158"/>
    </row>
    <row r="14" spans="1:29" ht="14.25" customHeight="1">
      <c r="J14" s="304"/>
      <c r="K14" s="304"/>
      <c r="L14" s="2019" t="s">
        <v>268</v>
      </c>
      <c r="M14" s="2019"/>
      <c r="N14" s="2019"/>
      <c r="O14" s="2019"/>
      <c r="P14" s="2019"/>
      <c r="Q14" s="2019"/>
      <c r="R14" s="2019"/>
      <c r="S14" s="2019"/>
      <c r="T14" s="2019"/>
      <c r="U14" s="2019"/>
      <c r="V14" s="2019"/>
      <c r="W14" s="2019"/>
      <c r="X14" s="2019" t="s">
        <v>269</v>
      </c>
    </row>
    <row r="15" spans="1:29" ht="14.25" customHeight="1">
      <c r="J15" s="304"/>
      <c r="K15" s="304"/>
      <c r="L15" s="2159" t="s">
        <v>73</v>
      </c>
      <c r="M15" s="2107" t="s">
        <v>398</v>
      </c>
      <c r="N15" s="218"/>
      <c r="O15" s="2160" t="s">
        <v>2110</v>
      </c>
      <c r="P15" s="2161"/>
      <c r="Q15" s="2161"/>
      <c r="R15" s="2161"/>
      <c r="S15" s="2161"/>
      <c r="T15" s="2161"/>
      <c r="U15" s="2162"/>
      <c r="V15" s="2163" t="s">
        <v>400</v>
      </c>
      <c r="W15" s="2166" t="s">
        <v>1023</v>
      </c>
      <c r="X15" s="2019"/>
    </row>
    <row r="16" spans="1:29" ht="33.75" customHeight="1">
      <c r="J16" s="304"/>
      <c r="K16" s="304"/>
      <c r="L16" s="2159"/>
      <c r="M16" s="2107"/>
      <c r="N16" s="940"/>
      <c r="O16" s="2076" t="s">
        <v>403</v>
      </c>
      <c r="P16" s="2076" t="s">
        <v>404</v>
      </c>
      <c r="Q16" s="2001" t="s">
        <v>405</v>
      </c>
      <c r="R16" s="2000"/>
      <c r="S16" s="2001" t="s">
        <v>419</v>
      </c>
      <c r="T16" s="2006"/>
      <c r="U16" s="2000"/>
      <c r="V16" s="2164"/>
      <c r="W16" s="2167"/>
      <c r="X16" s="2019"/>
    </row>
    <row r="17" spans="1:29" ht="33.75" customHeight="1">
      <c r="A17" s="1288" t="s">
        <v>116</v>
      </c>
      <c r="B17" s="1288" t="s">
        <v>117</v>
      </c>
      <c r="C17" s="1288" t="s">
        <v>118</v>
      </c>
      <c r="D17" s="1288" t="s">
        <v>119</v>
      </c>
      <c r="E17" s="1288"/>
      <c r="J17" s="304"/>
      <c r="K17" s="304"/>
      <c r="L17" s="2159"/>
      <c r="M17" s="2107"/>
      <c r="N17" s="219"/>
      <c r="O17" s="2132"/>
      <c r="P17" s="2132"/>
      <c r="Q17" s="1130" t="s">
        <v>414</v>
      </c>
      <c r="R17" s="1130" t="s">
        <v>415</v>
      </c>
      <c r="S17" s="1213" t="s">
        <v>416</v>
      </c>
      <c r="T17" s="2112" t="s">
        <v>417</v>
      </c>
      <c r="U17" s="2126"/>
      <c r="V17" s="2165"/>
      <c r="W17" s="2168"/>
      <c r="X17" s="2019"/>
    </row>
    <row r="18" spans="1:29" s="1810" customFormat="1" ht="11.25" customHeight="1">
      <c r="A18" s="1288"/>
      <c r="B18" s="1288"/>
      <c r="C18" s="1288"/>
      <c r="D18" s="1288"/>
      <c r="E18" s="1288"/>
      <c r="F18" s="1280"/>
      <c r="G18" s="1280"/>
      <c r="H18" s="1280"/>
      <c r="I18" s="1157"/>
      <c r="J18" s="1158"/>
      <c r="K18" s="1173">
        <v>1</v>
      </c>
      <c r="L18" s="1199" t="s">
        <v>91</v>
      </c>
      <c r="M18" s="1174" t="s">
        <v>92</v>
      </c>
      <c r="N18" s="1156" t="str">
        <f ca="1">OFFSET(N18,0,-1)</f>
        <v>2</v>
      </c>
      <c r="O18" s="1210">
        <f ca="1">OFFSET(O18,0,-1)+1</f>
        <v>3</v>
      </c>
      <c r="P18" s="1210"/>
      <c r="Q18" s="1210">
        <f ca="1">OFFSET(Q18,0,-1)+1</f>
        <v>1</v>
      </c>
      <c r="R18" s="1210">
        <f ca="1">OFFSET(R18,0,-1)+1</f>
        <v>2</v>
      </c>
      <c r="S18" s="1210">
        <f ca="1">OFFSET(S18,0,-1)+1</f>
        <v>3</v>
      </c>
      <c r="T18" s="2157">
        <f ca="1">OFFSET(T18,0,-1)+1</f>
        <v>4</v>
      </c>
      <c r="U18" s="2157"/>
      <c r="V18" s="1210">
        <f ca="1">OFFSET(V18,0,-2)+1</f>
        <v>5</v>
      </c>
      <c r="W18" s="1156">
        <f ca="1">OFFSET(W18,0,-1)</f>
        <v>5</v>
      </c>
      <c r="X18" s="1210">
        <f ca="1">OFFSET(X18,0,-1)+1</f>
        <v>6</v>
      </c>
      <c r="Y18" s="436"/>
      <c r="Z18" s="436"/>
      <c r="AA18" s="436"/>
      <c r="AB18" s="436"/>
      <c r="AC18" s="436"/>
    </row>
    <row r="19" spans="1:29" ht="21" customHeight="1">
      <c r="A19" s="1281" t="s">
        <v>150</v>
      </c>
      <c r="B19" s="1281" t="s">
        <v>151</v>
      </c>
      <c r="C19" s="1281" t="s">
        <v>152</v>
      </c>
      <c r="D19" s="1281" t="s">
        <v>153</v>
      </c>
      <c r="E19" s="1281"/>
      <c r="F19" s="1283"/>
      <c r="G19" s="1283"/>
      <c r="H19" s="1283"/>
      <c r="I19" s="285"/>
      <c r="J19" s="284"/>
      <c r="K19" s="279"/>
      <c r="L19" s="1214">
        <f>INDEX(PT_DIFFERENTIATION_NUM_NTAR,MATCH(A19,PT_DIFFERENTIATION_NTAR_ID,0))</f>
        <v>0</v>
      </c>
      <c r="M19" s="215" t="s">
        <v>105</v>
      </c>
      <c r="N19" s="217"/>
      <c r="O19" s="2405" t="str">
        <f>INDEX(PT_DIFFERENTIATION_NTAR,MATCH(A19,PT_DIFFERENTIATION_NTAR_ID,0))</f>
        <v/>
      </c>
      <c r="P19" s="2405"/>
      <c r="Q19" s="2405"/>
      <c r="R19" s="2405"/>
      <c r="S19" s="2405"/>
      <c r="T19" s="2405"/>
      <c r="U19" s="2405"/>
      <c r="V19" s="2405"/>
      <c r="W19" s="2405"/>
      <c r="X19" s="1179" t="s">
        <v>366</v>
      </c>
      <c r="Z19" s="425"/>
      <c r="AA19" s="425" t="str">
        <f t="shared" ref="AA19:AA32" si="0">IF(M19="","",M19)</f>
        <v>Наименование тарифа</v>
      </c>
      <c r="AB19" s="425"/>
      <c r="AC19" s="425"/>
    </row>
    <row r="20" spans="1:29" ht="21" customHeight="1">
      <c r="A20" s="1281" t="s">
        <v>150</v>
      </c>
      <c r="B20" s="1281" t="s">
        <v>151</v>
      </c>
      <c r="C20" s="1281" t="s">
        <v>152</v>
      </c>
      <c r="D20" s="1281" t="s">
        <v>153</v>
      </c>
      <c r="E20" s="1281"/>
      <c r="F20" s="1283"/>
      <c r="G20" s="1283"/>
      <c r="H20" s="1283"/>
      <c r="I20" s="1211"/>
      <c r="J20" s="276"/>
      <c r="K20" s="277"/>
      <c r="L20" s="1214" t="str">
        <f>INDEX(PT_DIFFERENTIATION_NUM_TER,MATCH(B19,PT_DIFFERENTIATION_TER_ID,0))</f>
        <v>.</v>
      </c>
      <c r="M20" s="227" t="s">
        <v>367</v>
      </c>
      <c r="N20" s="217"/>
      <c r="O20" s="2405" t="str">
        <f>INDEX(PT_DIFFERENTIATION_TER,MATCH(B19,PT_DIFFERENTIATION_TER_ID,0))</f>
        <v/>
      </c>
      <c r="P20" s="2405"/>
      <c r="Q20" s="2405"/>
      <c r="R20" s="2405"/>
      <c r="S20" s="2405"/>
      <c r="T20" s="2405"/>
      <c r="U20" s="2405"/>
      <c r="V20" s="2405"/>
      <c r="W20" s="2405"/>
      <c r="X20" s="1179" t="s">
        <v>368</v>
      </c>
      <c r="Z20" s="425"/>
      <c r="AA20" s="425" t="str">
        <f t="shared" si="0"/>
        <v>Территория действия тарифа</v>
      </c>
      <c r="AB20" s="425"/>
      <c r="AC20" s="425"/>
    </row>
    <row r="21" spans="1:29" ht="22.5" customHeight="1">
      <c r="A21" s="1281" t="s">
        <v>150</v>
      </c>
      <c r="B21" s="1281" t="s">
        <v>151</v>
      </c>
      <c r="C21" s="1281" t="s">
        <v>152</v>
      </c>
      <c r="D21" s="1281" t="s">
        <v>153</v>
      </c>
      <c r="E21" s="1281"/>
      <c r="F21" s="1283"/>
      <c r="G21" s="1283"/>
      <c r="H21" s="1283"/>
      <c r="I21" s="278"/>
      <c r="J21" s="276"/>
      <c r="K21" s="277"/>
      <c r="L21" s="1214" t="str">
        <f>INDEX(PT_DIFFERENTIATION_NUM_CS,MATCH(C19,PT_DIFFERENTIATION_CS_ID,0))</f>
        <v>..</v>
      </c>
      <c r="M21" s="228" t="s">
        <v>369</v>
      </c>
      <c r="N21" s="217"/>
      <c r="O21" s="2405" t="str">
        <f>INDEX(PT_DIFFERENTIATION_CS,MATCH(C19,PT_DIFFERENTIATION_CS_ID,0))</f>
        <v/>
      </c>
      <c r="P21" s="2405"/>
      <c r="Q21" s="2405"/>
      <c r="R21" s="2405"/>
      <c r="S21" s="2405"/>
      <c r="T21" s="2405"/>
      <c r="U21" s="2405"/>
      <c r="V21" s="2405"/>
      <c r="W21" s="2405"/>
      <c r="X21" s="1179" t="s">
        <v>370</v>
      </c>
      <c r="Z21" s="425"/>
      <c r="AA21" s="425" t="str">
        <f t="shared" si="0"/>
        <v xml:space="preserve">Наименование системы теплоснабжения </v>
      </c>
      <c r="AB21" s="425"/>
      <c r="AC21" s="425"/>
    </row>
    <row r="22" spans="1:29" ht="21" customHeight="1">
      <c r="A22" s="1281" t="s">
        <v>150</v>
      </c>
      <c r="B22" s="1281" t="s">
        <v>151</v>
      </c>
      <c r="C22" s="1281" t="s">
        <v>152</v>
      </c>
      <c r="D22" s="1281" t="s">
        <v>153</v>
      </c>
      <c r="E22" s="1281"/>
      <c r="F22" s="1283"/>
      <c r="G22" s="1283"/>
      <c r="H22" s="1283"/>
      <c r="I22" s="278"/>
      <c r="J22" s="276"/>
      <c r="K22" s="277"/>
      <c r="L22" s="1214" t="str">
        <f>INDEX(PT_DIFFERENTIATION_NUM_IST_TE,MATCH(D19,PT_DIFFERENTIATION_IST_TE_ID,0))</f>
        <v>...</v>
      </c>
      <c r="M22" s="229" t="s">
        <v>371</v>
      </c>
      <c r="N22" s="217"/>
      <c r="O22" s="2405" t="str">
        <f>INDEX(PT_DIFFERENTIATION_IST_TE,MATCH(D19,PT_DIFFERENTIATION_IST_TE_ID,0))</f>
        <v/>
      </c>
      <c r="P22" s="2405"/>
      <c r="Q22" s="2405"/>
      <c r="R22" s="2405"/>
      <c r="S22" s="2405"/>
      <c r="T22" s="2405"/>
      <c r="U22" s="2405"/>
      <c r="V22" s="2405"/>
      <c r="W22" s="2405"/>
      <c r="X22" s="1179" t="s">
        <v>372</v>
      </c>
      <c r="Z22" s="425"/>
      <c r="AA22" s="425" t="str">
        <f t="shared" si="0"/>
        <v xml:space="preserve">Источник тепловой энергии  </v>
      </c>
      <c r="AB22" s="425"/>
      <c r="AC22" s="425"/>
    </row>
    <row r="23" spans="1:29" ht="94.5" customHeight="1">
      <c r="A23" s="1281" t="s">
        <v>150</v>
      </c>
      <c r="B23" s="1281" t="s">
        <v>151</v>
      </c>
      <c r="C23" s="1281" t="s">
        <v>152</v>
      </c>
      <c r="D23" s="1281" t="s">
        <v>153</v>
      </c>
      <c r="E23" s="1281"/>
      <c r="F23" s="2124" t="str">
        <f>L22&amp;".1"</f>
        <v>....1</v>
      </c>
      <c r="I23" s="2150">
        <v>1</v>
      </c>
      <c r="J23" s="1212"/>
      <c r="K23" s="280"/>
      <c r="L23" s="1214" t="str">
        <f>$F$23</f>
        <v>....1</v>
      </c>
      <c r="M23" s="202" t="s">
        <v>374</v>
      </c>
      <c r="N23" s="217"/>
      <c r="O23" s="2406"/>
      <c r="P23" s="2406"/>
      <c r="Q23" s="2406"/>
      <c r="R23" s="2406"/>
      <c r="S23" s="2406"/>
      <c r="T23" s="2406"/>
      <c r="U23" s="2406"/>
      <c r="V23" s="2406"/>
      <c r="W23" s="2406"/>
      <c r="X23" s="1179" t="s">
        <v>375</v>
      </c>
      <c r="Z23" s="425"/>
      <c r="AA23" s="425" t="str">
        <f t="shared" si="0"/>
        <v>Схема подключения теплопотребляющей установки к коллектору источника тепловой энергии</v>
      </c>
      <c r="AB23" s="425"/>
      <c r="AC23" s="425"/>
    </row>
    <row r="24" spans="1:29" ht="84" customHeight="1">
      <c r="A24" s="1281" t="s">
        <v>150</v>
      </c>
      <c r="B24" s="1281" t="s">
        <v>151</v>
      </c>
      <c r="C24" s="1281" t="s">
        <v>152</v>
      </c>
      <c r="D24" s="1281" t="s">
        <v>153</v>
      </c>
      <c r="E24" s="1281"/>
      <c r="F24" s="2124"/>
      <c r="G24" s="2124" t="str">
        <f>F23&amp;".1"</f>
        <v>....1.1</v>
      </c>
      <c r="I24" s="2150"/>
      <c r="J24" s="2150">
        <v>1</v>
      </c>
      <c r="K24" s="281"/>
      <c r="L24" s="1214" t="str">
        <f>$G$24</f>
        <v>....1.1</v>
      </c>
      <c r="M24" s="203" t="s">
        <v>377</v>
      </c>
      <c r="N24" s="217"/>
      <c r="O24" s="2407"/>
      <c r="P24" s="2408"/>
      <c r="Q24" s="2408"/>
      <c r="R24" s="2408"/>
      <c r="S24" s="2408"/>
      <c r="T24" s="2408"/>
      <c r="U24" s="2408"/>
      <c r="V24" s="2408"/>
      <c r="W24" s="2409"/>
      <c r="X24" s="1179" t="s">
        <v>378</v>
      </c>
      <c r="Z24" s="425"/>
      <c r="AA24" s="425" t="str">
        <f t="shared" si="0"/>
        <v>Группа потребителей</v>
      </c>
      <c r="AB24" s="425"/>
      <c r="AC24" s="425"/>
    </row>
    <row r="25" spans="1:29" ht="11.25" customHeight="1">
      <c r="A25" s="1281" t="s">
        <v>150</v>
      </c>
      <c r="B25" s="1281" t="s">
        <v>151</v>
      </c>
      <c r="C25" s="1281" t="s">
        <v>152</v>
      </c>
      <c r="D25" s="1281" t="s">
        <v>153</v>
      </c>
      <c r="E25" s="1281"/>
      <c r="F25" s="2124"/>
      <c r="G25" s="2124"/>
      <c r="H25" s="2124" t="str">
        <f>G24&amp;".1"</f>
        <v>....1.1.1</v>
      </c>
      <c r="I25" s="2150"/>
      <c r="J25" s="2150"/>
      <c r="K25" s="281">
        <v>1</v>
      </c>
      <c r="L25" s="1214" t="str">
        <f>$H$25</f>
        <v>....1.1.1</v>
      </c>
      <c r="M25" s="1180"/>
      <c r="N25" s="217"/>
      <c r="O25" s="668"/>
      <c r="P25" s="249"/>
      <c r="Q25" s="668"/>
      <c r="R25" s="1178"/>
      <c r="S25" s="2151"/>
      <c r="T25" s="2029" t="s">
        <v>50</v>
      </c>
      <c r="U25" s="2151"/>
      <c r="V25" s="2029" t="s">
        <v>48</v>
      </c>
      <c r="W25" s="249"/>
      <c r="X25" s="2169" t="s">
        <v>380</v>
      </c>
      <c r="Y25" s="436" t="e">
        <f ca="1">STRCHECKDATE(O26:W26)</f>
        <v>#NAME?</v>
      </c>
      <c r="Z25" s="425"/>
      <c r="AA25" s="425" t="str">
        <f t="shared" si="0"/>
        <v/>
      </c>
      <c r="AB25" s="425"/>
      <c r="AC25" s="425"/>
    </row>
    <row r="26" spans="1:29" ht="11.25" customHeight="1">
      <c r="A26" s="1281" t="s">
        <v>150</v>
      </c>
      <c r="B26" s="1281" t="s">
        <v>151</v>
      </c>
      <c r="C26" s="1281" t="s">
        <v>152</v>
      </c>
      <c r="D26" s="1281" t="s">
        <v>153</v>
      </c>
      <c r="E26" s="1281"/>
      <c r="F26" s="2124"/>
      <c r="G26" s="2124"/>
      <c r="H26" s="2124"/>
      <c r="I26" s="2150"/>
      <c r="J26" s="2150"/>
      <c r="K26" s="281"/>
      <c r="L26" s="1215"/>
      <c r="M26" s="217"/>
      <c r="N26" s="217"/>
      <c r="O26" s="249"/>
      <c r="P26" s="249"/>
      <c r="Q26" s="249"/>
      <c r="R26" s="253" t="str">
        <f>S25&amp;"-"&amp;U25</f>
        <v>-</v>
      </c>
      <c r="S26" s="2152"/>
      <c r="T26" s="2029"/>
      <c r="U26" s="2152"/>
      <c r="V26" s="2029"/>
      <c r="W26" s="249"/>
      <c r="X26" s="2170"/>
      <c r="Z26" s="425"/>
      <c r="AA26" s="425" t="str">
        <f t="shared" si="0"/>
        <v/>
      </c>
      <c r="AB26" s="425"/>
      <c r="AC26" s="425"/>
    </row>
    <row r="27" spans="1:29" ht="15" customHeight="1">
      <c r="A27" s="1281" t="s">
        <v>150</v>
      </c>
      <c r="B27" s="1281" t="s">
        <v>151</v>
      </c>
      <c r="C27" s="1281" t="s">
        <v>152</v>
      </c>
      <c r="D27" s="1281" t="s">
        <v>153</v>
      </c>
      <c r="E27" s="1281"/>
      <c r="F27" s="2124"/>
      <c r="G27" s="2124"/>
      <c r="I27" s="2150"/>
      <c r="J27" s="2150"/>
      <c r="K27" s="280"/>
      <c r="L27" s="1200"/>
      <c r="M27" s="205" t="s">
        <v>381</v>
      </c>
      <c r="N27" s="294"/>
      <c r="O27" s="294"/>
      <c r="P27" s="294"/>
      <c r="Q27" s="294"/>
      <c r="R27" s="294"/>
      <c r="S27" s="294"/>
      <c r="T27" s="294"/>
      <c r="U27" s="294"/>
      <c r="V27" s="294"/>
      <c r="W27" s="248"/>
      <c r="X27" s="2171"/>
      <c r="Z27" s="425"/>
      <c r="AA27" s="425" t="str">
        <f t="shared" si="0"/>
        <v>Добавить вид теплоносителя (параметры теплоносителя)</v>
      </c>
      <c r="AB27" s="425"/>
      <c r="AC27" s="425"/>
    </row>
    <row r="28" spans="1:29" ht="15" customHeight="1">
      <c r="A28" s="1281" t="s">
        <v>150</v>
      </c>
      <c r="B28" s="1281" t="s">
        <v>151</v>
      </c>
      <c r="C28" s="1281" t="s">
        <v>152</v>
      </c>
      <c r="D28" s="1281" t="s">
        <v>153</v>
      </c>
      <c r="E28" s="1281"/>
      <c r="F28" s="2124"/>
      <c r="I28" s="2150"/>
      <c r="J28" s="1212"/>
      <c r="K28" s="280"/>
      <c r="L28" s="1200"/>
      <c r="M28" s="204" t="s">
        <v>382</v>
      </c>
      <c r="N28" s="294"/>
      <c r="O28" s="294"/>
      <c r="P28" s="294"/>
      <c r="Q28" s="294"/>
      <c r="R28" s="294"/>
      <c r="S28" s="294"/>
      <c r="T28" s="294"/>
      <c r="U28" s="294"/>
      <c r="V28" s="293"/>
      <c r="W28" s="294"/>
      <c r="X28" s="220"/>
      <c r="Z28" s="425"/>
      <c r="AA28" s="425" t="str">
        <f t="shared" si="0"/>
        <v>Добавить группу потребителей</v>
      </c>
      <c r="AB28" s="425"/>
      <c r="AC28" s="425"/>
    </row>
    <row r="29" spans="1:29" ht="14.25" customHeight="1">
      <c r="A29" s="1281" t="s">
        <v>150</v>
      </c>
      <c r="B29" s="1281" t="s">
        <v>151</v>
      </c>
      <c r="C29" s="1281" t="s">
        <v>152</v>
      </c>
      <c r="D29" s="1281" t="s">
        <v>153</v>
      </c>
      <c r="E29" s="1281"/>
      <c r="F29" s="1283"/>
      <c r="G29" s="1283"/>
      <c r="H29" s="461"/>
      <c r="I29" s="284"/>
      <c r="J29" s="303"/>
      <c r="K29" s="279"/>
      <c r="L29" s="1200"/>
      <c r="M29" s="291" t="s">
        <v>383</v>
      </c>
      <c r="N29" s="294"/>
      <c r="O29" s="294"/>
      <c r="P29" s="294"/>
      <c r="Q29" s="294"/>
      <c r="R29" s="294"/>
      <c r="S29" s="294"/>
      <c r="T29" s="294"/>
      <c r="U29" s="294"/>
      <c r="V29" s="293"/>
      <c r="W29" s="294"/>
      <c r="X29" s="220"/>
      <c r="Z29" s="425"/>
      <c r="AA29" s="425" t="str">
        <f t="shared" si="0"/>
        <v>Добавить схему подключения</v>
      </c>
      <c r="AB29" s="425"/>
      <c r="AC29" s="425"/>
    </row>
    <row r="30" spans="1:29" ht="14.25" customHeight="1">
      <c r="A30" s="1281" t="s">
        <v>150</v>
      </c>
      <c r="B30" s="1281" t="s">
        <v>151</v>
      </c>
      <c r="C30" s="1281" t="s">
        <v>152</v>
      </c>
      <c r="D30" s="1281"/>
      <c r="E30" s="1281" t="s">
        <v>548</v>
      </c>
      <c r="F30" s="1283"/>
      <c r="G30" s="1283"/>
      <c r="H30" s="461"/>
      <c r="I30" s="284"/>
      <c r="J30" s="303"/>
      <c r="K30" s="279"/>
      <c r="L30" s="1201"/>
      <c r="M30" s="1190"/>
      <c r="N30" s="1191"/>
      <c r="O30" s="1191"/>
      <c r="P30" s="1191"/>
      <c r="Q30" s="1191"/>
      <c r="R30" s="1191"/>
      <c r="S30" s="1191"/>
      <c r="T30" s="1191"/>
      <c r="U30" s="1191"/>
      <c r="V30" s="1192"/>
      <c r="W30" s="1191"/>
      <c r="X30" s="1193"/>
      <c r="Z30" s="425"/>
      <c r="AA30" s="425" t="str">
        <f t="shared" si="0"/>
        <v/>
      </c>
      <c r="AB30" s="425"/>
      <c r="AC30" s="425"/>
    </row>
    <row r="31" spans="1:29" ht="14.25" customHeight="1">
      <c r="A31" s="1281" t="s">
        <v>150</v>
      </c>
      <c r="B31" s="1281" t="s">
        <v>151</v>
      </c>
      <c r="C31" s="1281"/>
      <c r="D31" s="1281"/>
      <c r="E31" s="1281" t="s">
        <v>2111</v>
      </c>
      <c r="F31" s="1429"/>
      <c r="G31" s="1429"/>
      <c r="H31" s="461"/>
      <c r="I31" s="282"/>
      <c r="J31" s="303"/>
      <c r="K31" s="283"/>
      <c r="L31" s="1201"/>
      <c r="M31" s="1194"/>
      <c r="N31" s="1191"/>
      <c r="O31" s="1191"/>
      <c r="P31" s="1191"/>
      <c r="Q31" s="1191"/>
      <c r="R31" s="1191"/>
      <c r="S31" s="1191"/>
      <c r="T31" s="1191"/>
      <c r="U31" s="1191"/>
      <c r="V31" s="1192"/>
      <c r="W31" s="1191"/>
      <c r="X31" s="1193"/>
      <c r="Z31" s="425"/>
      <c r="AA31" s="425" t="str">
        <f t="shared" si="0"/>
        <v/>
      </c>
      <c r="AB31" s="425"/>
      <c r="AC31" s="425"/>
    </row>
    <row r="32" spans="1:29" ht="14.25" customHeight="1">
      <c r="A32" s="1281" t="s">
        <v>2112</v>
      </c>
      <c r="B32" s="1281"/>
      <c r="C32" s="1281"/>
      <c r="D32" s="1281"/>
      <c r="E32" s="1281" t="s">
        <v>86</v>
      </c>
      <c r="F32" s="1429"/>
      <c r="G32" s="1429"/>
      <c r="H32" s="461"/>
      <c r="I32" s="284"/>
      <c r="J32" s="303"/>
      <c r="K32" s="279"/>
      <c r="L32" s="1201"/>
      <c r="M32" s="1195"/>
      <c r="N32" s="1191"/>
      <c r="O32" s="1191"/>
      <c r="P32" s="1191"/>
      <c r="Q32" s="1191"/>
      <c r="R32" s="1191"/>
      <c r="S32" s="1191"/>
      <c r="T32" s="1191"/>
      <c r="U32" s="1191"/>
      <c r="V32" s="1192"/>
      <c r="W32" s="1191"/>
      <c r="X32" s="1193"/>
      <c r="Z32" s="425"/>
      <c r="AA32" s="425" t="str">
        <f t="shared" si="0"/>
        <v/>
      </c>
      <c r="AB32" s="425"/>
      <c r="AC32" s="425"/>
    </row>
    <row r="33" spans="1:29" s="1951" customFormat="1" ht="11.25" customHeight="1">
      <c r="A33" s="1281"/>
      <c r="B33" s="1281"/>
      <c r="C33" s="1281"/>
      <c r="D33" s="1281"/>
      <c r="E33" s="1281" t="s">
        <v>418</v>
      </c>
      <c r="F33" s="1430"/>
      <c r="G33" s="1431"/>
      <c r="H33" s="461"/>
      <c r="L33" s="1202"/>
      <c r="M33" s="1196"/>
      <c r="N33" s="1191"/>
      <c r="O33" s="1191"/>
      <c r="P33" s="1191"/>
      <c r="Q33" s="1191"/>
      <c r="R33" s="1191"/>
      <c r="S33" s="1191"/>
      <c r="T33" s="1191"/>
      <c r="U33" s="1191"/>
      <c r="V33" s="1192"/>
      <c r="W33" s="1191"/>
      <c r="X33" s="1193"/>
      <c r="Y33" s="310"/>
      <c r="Z33" s="310"/>
      <c r="AA33" s="310"/>
      <c r="AB33" s="310"/>
      <c r="AC33" s="310"/>
    </row>
    <row r="34" spans="1:29" ht="11.25" customHeight="1">
      <c r="F34" s="1062"/>
      <c r="G34" s="1062"/>
      <c r="H34" s="461"/>
      <c r="I34" s="1057"/>
      <c r="J34" s="1057"/>
      <c r="K34" s="1057"/>
      <c r="Y34" s="1057"/>
      <c r="Z34" s="1057"/>
      <c r="AA34" s="1057"/>
      <c r="AB34" s="1057"/>
      <c r="AC34" s="1057"/>
    </row>
    <row r="35" spans="1:29" ht="27" customHeight="1">
      <c r="H35" s="461"/>
      <c r="L35" s="1209" t="s">
        <v>680</v>
      </c>
      <c r="M35" s="2145" t="s">
        <v>2113</v>
      </c>
      <c r="N35" s="2145"/>
      <c r="O35" s="2145"/>
      <c r="P35" s="2145"/>
      <c r="Q35" s="2145"/>
      <c r="R35" s="2145"/>
      <c r="S35" s="2145"/>
      <c r="T35" s="2145"/>
      <c r="U35" s="2145"/>
      <c r="V35" s="2145"/>
      <c r="W35" s="2145"/>
      <c r="X35" s="2145"/>
    </row>
    <row r="36" spans="1:29" ht="104.25" customHeight="1">
      <c r="H36" s="461"/>
      <c r="I36" s="1224"/>
      <c r="M36" s="2145" t="s">
        <v>2114</v>
      </c>
      <c r="N36" s="2145"/>
      <c r="O36" s="2145"/>
      <c r="P36" s="2145"/>
      <c r="Q36" s="2145"/>
      <c r="R36" s="2145"/>
      <c r="S36" s="2145"/>
      <c r="T36" s="2145"/>
      <c r="U36" s="2145"/>
      <c r="V36" s="2145"/>
      <c r="W36" s="2145"/>
      <c r="X36" s="2145"/>
    </row>
    <row r="37" spans="1:29" ht="14.25" customHeight="1">
      <c r="H37" s="461"/>
    </row>
    <row r="38" spans="1:29" ht="14.25" customHeight="1">
      <c r="H38" s="461"/>
    </row>
    <row r="39" spans="1:29" ht="14.25" customHeight="1">
      <c r="H39" s="461"/>
    </row>
    <row r="40" spans="1:29" ht="14.25" customHeight="1">
      <c r="H40" s="461"/>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1.5703125" style="1856" customWidth="1"/>
    <col min="2" max="2" width="10.7109375" style="1856" customWidth="1"/>
    <col min="3" max="3" width="10" style="1856" customWidth="1"/>
    <col min="4" max="4" width="12.85546875" style="1856" customWidth="1"/>
    <col min="5" max="5" width="12.28515625" style="1856" customWidth="1"/>
    <col min="6" max="8" width="12.28515625" style="1973" customWidth="1"/>
    <col min="9" max="9" width="3.7109375" style="1973" customWidth="1"/>
    <col min="10" max="11" width="3.7109375" style="1890" customWidth="1"/>
    <col min="12" max="12" width="12.7109375" style="1891" customWidth="1"/>
    <col min="13" max="13" width="32" style="1856" customWidth="1"/>
    <col min="14" max="14" width="1.7109375" style="1856" customWidth="1"/>
    <col min="15" max="18" width="24.7109375" style="1856" customWidth="1"/>
    <col min="19" max="19" width="11.7109375" style="1856" customWidth="1"/>
    <col min="20" max="20" width="3.7109375" style="1856" customWidth="1"/>
    <col min="21" max="21" width="11.7109375" style="1856" customWidth="1"/>
    <col min="22" max="22" width="8.5703125" style="1856" customWidth="1"/>
    <col min="23" max="23" width="4.7109375" style="1856" customWidth="1"/>
    <col min="24" max="24" width="115.7109375" style="1856" customWidth="1"/>
    <col min="25" max="26" width="10.5703125" style="1811"/>
    <col min="27" max="27" width="11.140625" style="1811" customWidth="1"/>
    <col min="28" max="29" width="10.5703125" style="1811"/>
  </cols>
  <sheetData>
    <row r="1" spans="6:29" ht="14.25" hidden="1" customHeight="1">
      <c r="R1" s="252"/>
      <c r="S1" s="252"/>
    </row>
    <row r="2" spans="6:29" ht="14.25" hidden="1" customHeight="1">
      <c r="V2" s="252"/>
    </row>
    <row r="3" spans="6:29" ht="14.25" hidden="1" customHeight="1"/>
    <row r="4" spans="6:29" ht="14.25" customHeight="1">
      <c r="J4" s="304"/>
      <c r="K4" s="304"/>
      <c r="L4" s="1197"/>
      <c r="M4" s="289"/>
      <c r="N4" s="289"/>
      <c r="O4" s="434"/>
      <c r="P4" s="434"/>
      <c r="Q4" s="434"/>
      <c r="R4" s="434"/>
      <c r="S4" s="434"/>
      <c r="T4" s="434"/>
      <c r="U4" s="434"/>
      <c r="V4" s="434"/>
    </row>
    <row r="5" spans="6:29" ht="64.5" customHeight="1">
      <c r="J5" s="304"/>
      <c r="K5" s="304"/>
      <c r="L5" s="2411" t="s">
        <v>2109</v>
      </c>
      <c r="M5" s="2411"/>
      <c r="N5" s="2411"/>
      <c r="O5" s="2411"/>
      <c r="P5" s="2411"/>
      <c r="Q5" s="2411"/>
      <c r="R5" s="2411"/>
      <c r="S5" s="2411"/>
      <c r="T5" s="2411"/>
      <c r="U5" s="2411"/>
      <c r="V5" s="1154"/>
    </row>
    <row r="6" spans="6:29" ht="14.25" customHeight="1">
      <c r="J6" s="304"/>
      <c r="K6" s="304"/>
      <c r="L6" s="2412" t="str">
        <f>IF(org=0,"Не определено",org)</f>
        <v>ООО "Горводоканал"</v>
      </c>
      <c r="M6" s="2412"/>
      <c r="N6" s="2412"/>
      <c r="O6" s="2412"/>
      <c r="P6" s="2412"/>
      <c r="Q6" s="2412"/>
      <c r="R6" s="2412"/>
      <c r="S6" s="2412"/>
      <c r="T6" s="2412"/>
      <c r="U6" s="2412"/>
      <c r="V6" s="1154"/>
    </row>
    <row r="7" spans="6:29" ht="14.25" customHeight="1">
      <c r="J7" s="304"/>
      <c r="K7" s="304"/>
      <c r="L7" s="1197"/>
      <c r="M7" s="289"/>
      <c r="N7" s="289"/>
      <c r="O7" s="245"/>
      <c r="P7" s="245"/>
      <c r="Q7" s="245"/>
      <c r="R7" s="245"/>
      <c r="S7" s="245"/>
      <c r="T7" s="245"/>
      <c r="U7" s="245"/>
      <c r="V7" s="245"/>
      <c r="W7" s="434"/>
    </row>
    <row r="8" spans="6:29" s="1887" customFormat="1" ht="45" customHeight="1">
      <c r="F8" s="1160"/>
      <c r="G8" s="1160"/>
      <c r="H8" s="1160"/>
      <c r="L8" s="1198"/>
      <c r="M8" s="212" t="s">
        <v>37</v>
      </c>
      <c r="N8" s="221"/>
      <c r="O8" s="2139" t="str">
        <f>IF(TITLE_NAME_OR_PR_CHANGE="",IF(TITLE_NAME_OR_PR="","",TITLE_NAME_OR_PR),TITLE_NAME_OR_PR_CHANGE)</f>
        <v/>
      </c>
      <c r="P8" s="2139"/>
      <c r="Q8" s="2139"/>
      <c r="R8" s="2139"/>
      <c r="S8" s="2139"/>
      <c r="T8" s="2139"/>
      <c r="U8" s="2139"/>
      <c r="V8" s="251"/>
      <c r="W8" s="251"/>
      <c r="X8" s="198"/>
      <c r="Y8" s="295"/>
      <c r="Z8" s="295"/>
      <c r="AA8" s="295"/>
      <c r="AB8" s="295"/>
      <c r="AC8" s="295"/>
    </row>
    <row r="9" spans="6:29" s="1887" customFormat="1" ht="22.5" customHeight="1">
      <c r="F9" s="1160"/>
      <c r="G9" s="1160"/>
      <c r="H9" s="1160"/>
      <c r="L9" s="1198"/>
      <c r="M9" s="212" t="s">
        <v>393</v>
      </c>
      <c r="N9" s="221"/>
      <c r="O9" s="2139" t="str">
        <f>IF(TITLE_DATE_CHANGE_PERIOD="",IF(TITLE_DATE_PR="","",TITLE_DATE_PR),TITLE_DATE_CHANGE_PERIOD)</f>
        <v/>
      </c>
      <c r="P9" s="2139"/>
      <c r="Q9" s="2139"/>
      <c r="R9" s="2139"/>
      <c r="S9" s="2139"/>
      <c r="T9" s="2139"/>
      <c r="U9" s="2139"/>
      <c r="V9" s="251"/>
      <c r="W9" s="251"/>
      <c r="X9" s="198"/>
      <c r="Y9" s="295"/>
      <c r="Z9" s="295"/>
      <c r="AA9" s="295"/>
      <c r="AB9" s="295"/>
      <c r="AC9" s="295"/>
    </row>
    <row r="10" spans="6:29" s="1887" customFormat="1" ht="22.5" customHeight="1">
      <c r="F10" s="1160"/>
      <c r="G10" s="1160"/>
      <c r="H10" s="1160"/>
      <c r="L10" s="1162"/>
      <c r="M10" s="212" t="s">
        <v>394</v>
      </c>
      <c r="N10" s="221"/>
      <c r="O10" s="2139" t="str">
        <f>IF(TITLE_NUMBER_PR_CHANGE="",IF(TITLE_NUMBER_PR="","",TITLE_NUMBER_PR),TITLE_NUMBER_PR_CHANGE)</f>
        <v/>
      </c>
      <c r="P10" s="2139"/>
      <c r="Q10" s="2139"/>
      <c r="R10" s="2139"/>
      <c r="S10" s="2139"/>
      <c r="T10" s="2139"/>
      <c r="U10" s="2139"/>
      <c r="V10" s="251"/>
      <c r="W10" s="251"/>
      <c r="X10" s="198"/>
      <c r="Y10" s="295"/>
      <c r="Z10" s="295"/>
      <c r="AA10" s="295"/>
      <c r="AB10" s="295"/>
      <c r="AC10" s="295"/>
    </row>
    <row r="11" spans="6:29" s="1887" customFormat="1" ht="22.5" customHeight="1">
      <c r="F11" s="1160"/>
      <c r="G11" s="1160"/>
      <c r="H11" s="1160"/>
      <c r="L11" s="1162"/>
      <c r="M11" s="212" t="s">
        <v>38</v>
      </c>
      <c r="N11" s="221"/>
      <c r="O11" s="2139" t="str">
        <f>IF(TITLE_IST_PUB_CHANGE="",IF(TITLE_IST_PUB="","",TITLE_IST_PUB),TITLE_IST_PUB_CHANGE)</f>
        <v/>
      </c>
      <c r="P11" s="2139"/>
      <c r="Q11" s="2139"/>
      <c r="R11" s="2139"/>
      <c r="S11" s="2139"/>
      <c r="T11" s="2139"/>
      <c r="U11" s="2139"/>
      <c r="V11" s="251"/>
      <c r="W11" s="251"/>
      <c r="X11" s="198"/>
      <c r="Y11" s="295"/>
      <c r="Z11" s="295"/>
      <c r="AA11" s="295"/>
      <c r="AB11" s="295"/>
      <c r="AC11" s="295"/>
    </row>
    <row r="12" spans="6:29" s="1887" customFormat="1" ht="11.25" hidden="1" customHeight="1">
      <c r="F12" s="1160"/>
      <c r="G12" s="1160"/>
      <c r="H12" s="1160"/>
      <c r="L12" s="2410"/>
      <c r="M12" s="2410"/>
      <c r="N12" s="1208"/>
      <c r="O12" s="251"/>
      <c r="P12" s="251"/>
      <c r="Q12" s="251"/>
      <c r="R12" s="251"/>
      <c r="S12" s="251"/>
      <c r="T12" s="251"/>
      <c r="U12" s="251"/>
      <c r="V12" s="196" t="s">
        <v>397</v>
      </c>
      <c r="Y12" s="295"/>
      <c r="Z12" s="295"/>
      <c r="AA12" s="295"/>
      <c r="AB12" s="295"/>
      <c r="AC12" s="295"/>
    </row>
    <row r="13" spans="6:29" ht="14.25" customHeight="1">
      <c r="J13" s="304"/>
      <c r="K13" s="304"/>
      <c r="L13" s="1197"/>
      <c r="M13" s="289"/>
      <c r="N13" s="1155"/>
      <c r="O13" s="2158"/>
      <c r="P13" s="2158"/>
      <c r="Q13" s="2158"/>
      <c r="R13" s="2158"/>
      <c r="S13" s="2158"/>
      <c r="T13" s="2158"/>
      <c r="U13" s="2158"/>
      <c r="V13" s="2158"/>
    </row>
    <row r="14" spans="6:29" ht="14.25" customHeight="1">
      <c r="J14" s="304"/>
      <c r="K14" s="304"/>
      <c r="L14" s="2019" t="s">
        <v>268</v>
      </c>
      <c r="M14" s="2019"/>
      <c r="N14" s="2019"/>
      <c r="O14" s="2019"/>
      <c r="P14" s="2019"/>
      <c r="Q14" s="2019"/>
      <c r="R14" s="2019"/>
      <c r="S14" s="2019"/>
      <c r="T14" s="2019"/>
      <c r="U14" s="2019"/>
      <c r="V14" s="2019"/>
      <c r="W14" s="2019"/>
      <c r="X14" s="2019" t="s">
        <v>269</v>
      </c>
    </row>
    <row r="15" spans="6:29" ht="14.25" customHeight="1">
      <c r="J15" s="304"/>
      <c r="K15" s="304"/>
      <c r="L15" s="2159" t="s">
        <v>73</v>
      </c>
      <c r="M15" s="2107" t="s">
        <v>398</v>
      </c>
      <c r="N15" s="218"/>
      <c r="O15" s="2160" t="s">
        <v>2110</v>
      </c>
      <c r="P15" s="2161"/>
      <c r="Q15" s="2161"/>
      <c r="R15" s="2161"/>
      <c r="S15" s="2161"/>
      <c r="T15" s="2161"/>
      <c r="U15" s="2162"/>
      <c r="V15" s="2163" t="s">
        <v>400</v>
      </c>
      <c r="W15" s="2166" t="s">
        <v>1023</v>
      </c>
      <c r="X15" s="2019"/>
    </row>
    <row r="16" spans="6:29" ht="33.75" customHeight="1">
      <c r="J16" s="304"/>
      <c r="K16" s="304"/>
      <c r="L16" s="2159"/>
      <c r="M16" s="2107"/>
      <c r="N16" s="940"/>
      <c r="O16" s="2076" t="s">
        <v>403</v>
      </c>
      <c r="P16" s="2076" t="s">
        <v>404</v>
      </c>
      <c r="Q16" s="2001" t="s">
        <v>405</v>
      </c>
      <c r="R16" s="2000"/>
      <c r="S16" s="2001" t="s">
        <v>419</v>
      </c>
      <c r="T16" s="2006"/>
      <c r="U16" s="2000"/>
      <c r="V16" s="2164"/>
      <c r="W16" s="2167"/>
      <c r="X16" s="2019"/>
    </row>
    <row r="17" spans="1:29" ht="33.75" customHeight="1">
      <c r="A17" s="1181" t="s">
        <v>116</v>
      </c>
      <c r="B17" s="1181" t="s">
        <v>117</v>
      </c>
      <c r="C17" s="1181" t="s">
        <v>118</v>
      </c>
      <c r="D17" s="1181" t="s">
        <v>119</v>
      </c>
      <c r="E17" s="1181"/>
      <c r="J17" s="304"/>
      <c r="K17" s="304"/>
      <c r="L17" s="2159"/>
      <c r="M17" s="2107"/>
      <c r="N17" s="219"/>
      <c r="O17" s="2132"/>
      <c r="P17" s="2132"/>
      <c r="Q17" s="1130" t="s">
        <v>414</v>
      </c>
      <c r="R17" s="1130" t="s">
        <v>415</v>
      </c>
      <c r="S17" s="1213" t="s">
        <v>416</v>
      </c>
      <c r="T17" s="2112" t="s">
        <v>417</v>
      </c>
      <c r="U17" s="2126"/>
      <c r="V17" s="2165"/>
      <c r="W17" s="2168"/>
      <c r="X17" s="2019"/>
    </row>
    <row r="18" spans="1:29" s="1810" customFormat="1" ht="11.25" customHeight="1">
      <c r="A18" s="1181"/>
      <c r="B18" s="1181"/>
      <c r="C18" s="1181"/>
      <c r="D18" s="1181"/>
      <c r="E18" s="1181"/>
      <c r="F18" s="1207"/>
      <c r="G18" s="1207"/>
      <c r="H18" s="1207"/>
      <c r="I18" s="1157"/>
      <c r="J18" s="1158"/>
      <c r="K18" s="1173">
        <v>1</v>
      </c>
      <c r="L18" s="1199" t="s">
        <v>91</v>
      </c>
      <c r="M18" s="1174" t="s">
        <v>92</v>
      </c>
      <c r="N18" s="1156" t="str">
        <f ca="1">OFFSET(N18,0,-1)</f>
        <v>2</v>
      </c>
      <c r="O18" s="1210">
        <f ca="1">OFFSET(O18,0,-1)+1</f>
        <v>3</v>
      </c>
      <c r="P18" s="1210"/>
      <c r="Q18" s="1210">
        <f ca="1">OFFSET(Q18,0,-1)+1</f>
        <v>1</v>
      </c>
      <c r="R18" s="1210">
        <f ca="1">OFFSET(R18,0,-1)+1</f>
        <v>2</v>
      </c>
      <c r="S18" s="1210">
        <f ca="1">OFFSET(S18,0,-1)+1</f>
        <v>3</v>
      </c>
      <c r="T18" s="2157">
        <f ca="1">OFFSET(T18,0,-1)+1</f>
        <v>4</v>
      </c>
      <c r="U18" s="2157"/>
      <c r="V18" s="1210">
        <f ca="1">OFFSET(V18,0,-2)+1</f>
        <v>5</v>
      </c>
      <c r="W18" s="1156">
        <f ca="1">OFFSET(W18,0,-1)</f>
        <v>5</v>
      </c>
      <c r="X18" s="1210">
        <f ca="1">OFFSET(X18,0,-1)+1</f>
        <v>6</v>
      </c>
      <c r="Y18" s="436"/>
      <c r="Z18" s="436"/>
      <c r="AA18" s="436"/>
      <c r="AB18" s="436"/>
      <c r="AC18" s="436"/>
    </row>
    <row r="19" spans="1:29" ht="21" customHeight="1">
      <c r="A19" s="1188" t="s">
        <v>2115</v>
      </c>
      <c r="B19" s="1188" t="s">
        <v>2116</v>
      </c>
      <c r="C19" s="1188" t="s">
        <v>2117</v>
      </c>
      <c r="D19" s="1188" t="s">
        <v>2118</v>
      </c>
      <c r="E19" s="1188"/>
      <c r="F19" s="607"/>
      <c r="G19" s="607"/>
      <c r="H19" s="607"/>
      <c r="I19" s="285"/>
      <c r="J19" s="284"/>
      <c r="K19" s="279"/>
      <c r="L19" s="1214" t="e">
        <f>INDEX(PT_DIFFERENTIATION_NUM_NTAR,MATCH(A19,PT_DIFFERENTIATION_NTAR_ID,0))</f>
        <v>#N/A</v>
      </c>
      <c r="M19" s="215" t="s">
        <v>105</v>
      </c>
      <c r="N19" s="217"/>
      <c r="O19" s="2405" t="e">
        <f>INDEX(PT_DIFFERENTIATION_NTAR,MATCH(A19,PT_DIFFERENTIATION_NTAR_ID,0))</f>
        <v>#N/A</v>
      </c>
      <c r="P19" s="2405"/>
      <c r="Q19" s="2405"/>
      <c r="R19" s="2405"/>
      <c r="S19" s="2405"/>
      <c r="T19" s="2405"/>
      <c r="U19" s="2405"/>
      <c r="V19" s="2405"/>
      <c r="W19" s="2405"/>
      <c r="X19" s="1179" t="s">
        <v>366</v>
      </c>
      <c r="Z19" s="425"/>
      <c r="AA19" s="425" t="str">
        <f t="shared" ref="AA19:AA32" si="0">IF(M19="","",M19)</f>
        <v>Наименование тарифа</v>
      </c>
      <c r="AB19" s="425"/>
      <c r="AC19" s="425"/>
    </row>
    <row r="20" spans="1:29" ht="21" customHeight="1">
      <c r="A20" s="1188" t="s">
        <v>2115</v>
      </c>
      <c r="B20" s="1188" t="s">
        <v>2116</v>
      </c>
      <c r="C20" s="1188" t="s">
        <v>2117</v>
      </c>
      <c r="D20" s="1188" t="s">
        <v>2118</v>
      </c>
      <c r="E20" s="1188"/>
      <c r="F20" s="607"/>
      <c r="G20" s="607"/>
      <c r="H20" s="607"/>
      <c r="I20" s="1211"/>
      <c r="J20" s="276"/>
      <c r="K20" s="277"/>
      <c r="L20" s="1214" t="e">
        <f>INDEX(PT_DIFFERENTIATION_NUM_TER,MATCH(B19,PT_DIFFERENTIATION_TER_ID,0))</f>
        <v>#N/A</v>
      </c>
      <c r="M20" s="227" t="s">
        <v>367</v>
      </c>
      <c r="N20" s="217"/>
      <c r="O20" s="2405" t="e">
        <f>INDEX(PT_DIFFERENTIATION_TER,MATCH(B19,PT_DIFFERENTIATION_TER_ID,0))</f>
        <v>#N/A</v>
      </c>
      <c r="P20" s="2405"/>
      <c r="Q20" s="2405"/>
      <c r="R20" s="2405"/>
      <c r="S20" s="2405"/>
      <c r="T20" s="2405"/>
      <c r="U20" s="2405"/>
      <c r="V20" s="2405"/>
      <c r="W20" s="2405"/>
      <c r="X20" s="1179" t="s">
        <v>368</v>
      </c>
      <c r="Z20" s="425"/>
      <c r="AA20" s="425" t="str">
        <f t="shared" si="0"/>
        <v>Территория действия тарифа</v>
      </c>
      <c r="AB20" s="425"/>
      <c r="AC20" s="425"/>
    </row>
    <row r="21" spans="1:29" ht="22.5" customHeight="1">
      <c r="A21" s="1188" t="s">
        <v>2115</v>
      </c>
      <c r="B21" s="1188" t="s">
        <v>2116</v>
      </c>
      <c r="C21" s="1188" t="s">
        <v>2117</v>
      </c>
      <c r="D21" s="1188" t="s">
        <v>2118</v>
      </c>
      <c r="E21" s="1188"/>
      <c r="F21" s="607"/>
      <c r="G21" s="607"/>
      <c r="H21" s="607"/>
      <c r="I21" s="278"/>
      <c r="J21" s="276"/>
      <c r="K21" s="277"/>
      <c r="L21" s="1214" t="e">
        <f>INDEX(PT_DIFFERENTIATION_NUM_CS,MATCH(C19,PT_DIFFERENTIATION_CS_ID,0))</f>
        <v>#N/A</v>
      </c>
      <c r="M21" s="228" t="s">
        <v>369</v>
      </c>
      <c r="N21" s="217"/>
      <c r="O21" s="2405" t="e">
        <f>INDEX(PT_DIFFERENTIATION_CS,MATCH(C19,PT_DIFFERENTIATION_CS_ID,0))</f>
        <v>#N/A</v>
      </c>
      <c r="P21" s="2405"/>
      <c r="Q21" s="2405"/>
      <c r="R21" s="2405"/>
      <c r="S21" s="2405"/>
      <c r="T21" s="2405"/>
      <c r="U21" s="2405"/>
      <c r="V21" s="2405"/>
      <c r="W21" s="2405"/>
      <c r="X21" s="1179" t="s">
        <v>370</v>
      </c>
      <c r="Z21" s="425"/>
      <c r="AA21" s="425" t="str">
        <f t="shared" si="0"/>
        <v xml:space="preserve">Наименование системы теплоснабжения </v>
      </c>
      <c r="AB21" s="425"/>
      <c r="AC21" s="425"/>
    </row>
    <row r="22" spans="1:29" ht="21" customHeight="1">
      <c r="A22" s="1188" t="s">
        <v>2115</v>
      </c>
      <c r="B22" s="1188" t="s">
        <v>2116</v>
      </c>
      <c r="C22" s="1188" t="s">
        <v>2117</v>
      </c>
      <c r="D22" s="1188" t="s">
        <v>2118</v>
      </c>
      <c r="E22" s="1188"/>
      <c r="F22" s="607"/>
      <c r="G22" s="607"/>
      <c r="H22" s="607"/>
      <c r="I22" s="278"/>
      <c r="J22" s="276"/>
      <c r="K22" s="277"/>
      <c r="L22" s="1214" t="e">
        <f>INDEX(PT_DIFFERENTIATION_NUM_IST_TE,MATCH(D19,PT_DIFFERENTIATION_IST_TE_ID,0))</f>
        <v>#N/A</v>
      </c>
      <c r="M22" s="229" t="s">
        <v>371</v>
      </c>
      <c r="N22" s="217"/>
      <c r="O22" s="2405" t="e">
        <f>INDEX(PT_DIFFERENTIATION_IST_TE,MATCH(D19,PT_DIFFERENTIATION_IST_TE_ID,0))</f>
        <v>#N/A</v>
      </c>
      <c r="P22" s="2405"/>
      <c r="Q22" s="2405"/>
      <c r="R22" s="2405"/>
      <c r="S22" s="2405"/>
      <c r="T22" s="2405"/>
      <c r="U22" s="2405"/>
      <c r="V22" s="2405"/>
      <c r="W22" s="2405"/>
      <c r="X22" s="1179" t="s">
        <v>372</v>
      </c>
      <c r="Z22" s="425"/>
      <c r="AA22" s="425" t="str">
        <f t="shared" si="0"/>
        <v xml:space="preserve">Источник тепловой энергии  </v>
      </c>
      <c r="AB22" s="425"/>
      <c r="AC22" s="425"/>
    </row>
    <row r="23" spans="1:29" ht="94.5" customHeight="1">
      <c r="A23" s="1188" t="s">
        <v>2115</v>
      </c>
      <c r="B23" s="1188" t="s">
        <v>2116</v>
      </c>
      <c r="C23" s="1188" t="s">
        <v>2117</v>
      </c>
      <c r="D23" s="1188" t="s">
        <v>2118</v>
      </c>
      <c r="E23" s="1188"/>
      <c r="F23" s="2004" t="e">
        <f>L22&amp;".1"</f>
        <v>#N/A</v>
      </c>
      <c r="I23" s="2150">
        <v>1</v>
      </c>
      <c r="J23" s="1212"/>
      <c r="K23" s="280"/>
      <c r="L23" s="1214" t="e">
        <f>$F$23</f>
        <v>#N/A</v>
      </c>
      <c r="M23" s="202" t="s">
        <v>374</v>
      </c>
      <c r="N23" s="217"/>
      <c r="O23" s="2406"/>
      <c r="P23" s="2406"/>
      <c r="Q23" s="2406"/>
      <c r="R23" s="2406"/>
      <c r="S23" s="2406"/>
      <c r="T23" s="2406"/>
      <c r="U23" s="2406"/>
      <c r="V23" s="2406"/>
      <c r="W23" s="2406"/>
      <c r="X23" s="1179" t="s">
        <v>375</v>
      </c>
      <c r="Z23" s="425"/>
      <c r="AA23" s="425" t="str">
        <f t="shared" si="0"/>
        <v>Схема подключения теплопотребляющей установки к коллектору источника тепловой энергии</v>
      </c>
      <c r="AB23" s="425"/>
      <c r="AC23" s="425"/>
    </row>
    <row r="24" spans="1:29" ht="84" customHeight="1">
      <c r="A24" s="1188" t="s">
        <v>2115</v>
      </c>
      <c r="B24" s="1188" t="s">
        <v>2116</v>
      </c>
      <c r="C24" s="1188" t="s">
        <v>2117</v>
      </c>
      <c r="D24" s="1188" t="s">
        <v>2118</v>
      </c>
      <c r="E24" s="1188"/>
      <c r="F24" s="2004"/>
      <c r="G24" s="2004" t="e">
        <f>F23&amp;".1"</f>
        <v>#N/A</v>
      </c>
      <c r="I24" s="2150"/>
      <c r="J24" s="2150">
        <v>1</v>
      </c>
      <c r="K24" s="281"/>
      <c r="L24" s="1214" t="e">
        <f>$G$24</f>
        <v>#N/A</v>
      </c>
      <c r="M24" s="203" t="s">
        <v>377</v>
      </c>
      <c r="N24" s="217"/>
      <c r="O24" s="2407"/>
      <c r="P24" s="2408"/>
      <c r="Q24" s="2408"/>
      <c r="R24" s="2408"/>
      <c r="S24" s="2408"/>
      <c r="T24" s="2408"/>
      <c r="U24" s="2408"/>
      <c r="V24" s="2408"/>
      <c r="W24" s="2409"/>
      <c r="X24" s="1179" t="s">
        <v>378</v>
      </c>
      <c r="Z24" s="425"/>
      <c r="AA24" s="425" t="str">
        <f t="shared" si="0"/>
        <v>Группа потребителей</v>
      </c>
      <c r="AB24" s="425"/>
      <c r="AC24" s="425"/>
    </row>
    <row r="25" spans="1:29" ht="11.25" customHeight="1">
      <c r="A25" s="1188" t="s">
        <v>2115</v>
      </c>
      <c r="B25" s="1188" t="s">
        <v>2116</v>
      </c>
      <c r="C25" s="1188" t="s">
        <v>2117</v>
      </c>
      <c r="D25" s="1188" t="s">
        <v>2118</v>
      </c>
      <c r="E25" s="1188"/>
      <c r="F25" s="2004"/>
      <c r="G25" s="2004"/>
      <c r="H25" s="2004" t="e">
        <f>G24&amp;".1"</f>
        <v>#N/A</v>
      </c>
      <c r="I25" s="2150"/>
      <c r="J25" s="2150"/>
      <c r="K25" s="281">
        <v>1</v>
      </c>
      <c r="L25" s="1214" t="e">
        <f>$H$25</f>
        <v>#N/A</v>
      </c>
      <c r="M25" s="1180"/>
      <c r="N25" s="217"/>
      <c r="O25" s="668"/>
      <c r="P25" s="249"/>
      <c r="Q25" s="668"/>
      <c r="R25" s="1178"/>
      <c r="S25" s="2151"/>
      <c r="T25" s="2029" t="s">
        <v>50</v>
      </c>
      <c r="U25" s="2151"/>
      <c r="V25" s="2029" t="s">
        <v>48</v>
      </c>
      <c r="W25" s="249"/>
      <c r="X25" s="2169" t="s">
        <v>380</v>
      </c>
      <c r="Y25" s="436" t="e">
        <f ca="1">STRCHECKDATE(O26:W26)</f>
        <v>#NAME?</v>
      </c>
      <c r="Z25" s="425"/>
      <c r="AA25" s="425" t="str">
        <f t="shared" si="0"/>
        <v/>
      </c>
      <c r="AB25" s="425"/>
      <c r="AC25" s="425"/>
    </row>
    <row r="26" spans="1:29" ht="11.25" customHeight="1">
      <c r="A26" s="1188" t="s">
        <v>2115</v>
      </c>
      <c r="B26" s="1188" t="s">
        <v>2116</v>
      </c>
      <c r="C26" s="1188" t="s">
        <v>2117</v>
      </c>
      <c r="D26" s="1188" t="s">
        <v>2118</v>
      </c>
      <c r="E26" s="1188"/>
      <c r="F26" s="2004"/>
      <c r="G26" s="2004"/>
      <c r="H26" s="2004"/>
      <c r="I26" s="2150"/>
      <c r="J26" s="2150"/>
      <c r="K26" s="281"/>
      <c r="L26" s="1215"/>
      <c r="M26" s="217"/>
      <c r="N26" s="217"/>
      <c r="O26" s="249"/>
      <c r="P26" s="249"/>
      <c r="Q26" s="249"/>
      <c r="R26" s="253" t="str">
        <f>S25&amp;"-"&amp;U25</f>
        <v>-</v>
      </c>
      <c r="S26" s="2152"/>
      <c r="T26" s="2029"/>
      <c r="U26" s="2152"/>
      <c r="V26" s="2029"/>
      <c r="W26" s="249"/>
      <c r="X26" s="2170"/>
      <c r="Z26" s="425"/>
      <c r="AA26" s="425" t="str">
        <f t="shared" si="0"/>
        <v/>
      </c>
      <c r="AB26" s="425"/>
      <c r="AC26" s="425"/>
    </row>
    <row r="27" spans="1:29" ht="15" customHeight="1">
      <c r="A27" s="1188" t="s">
        <v>2115</v>
      </c>
      <c r="B27" s="1188" t="s">
        <v>2116</v>
      </c>
      <c r="C27" s="1188" t="s">
        <v>2117</v>
      </c>
      <c r="D27" s="1188" t="s">
        <v>2118</v>
      </c>
      <c r="E27" s="1188"/>
      <c r="F27" s="2004"/>
      <c r="G27" s="2004"/>
      <c r="I27" s="2150"/>
      <c r="J27" s="2150"/>
      <c r="K27" s="280"/>
      <c r="L27" s="1200"/>
      <c r="M27" s="205" t="s">
        <v>381</v>
      </c>
      <c r="N27" s="294"/>
      <c r="O27" s="294"/>
      <c r="P27" s="294"/>
      <c r="Q27" s="294"/>
      <c r="R27" s="294"/>
      <c r="S27" s="294"/>
      <c r="T27" s="294"/>
      <c r="U27" s="294"/>
      <c r="V27" s="294"/>
      <c r="W27" s="248"/>
      <c r="X27" s="2171"/>
      <c r="Z27" s="425"/>
      <c r="AA27" s="425" t="str">
        <f t="shared" si="0"/>
        <v>Добавить вид теплоносителя (параметры теплоносителя)</v>
      </c>
      <c r="AB27" s="425"/>
      <c r="AC27" s="425"/>
    </row>
    <row r="28" spans="1:29" ht="15" customHeight="1">
      <c r="A28" s="1188" t="s">
        <v>2115</v>
      </c>
      <c r="B28" s="1188" t="s">
        <v>2116</v>
      </c>
      <c r="C28" s="1188" t="s">
        <v>2117</v>
      </c>
      <c r="D28" s="1188" t="s">
        <v>2118</v>
      </c>
      <c r="E28" s="1188"/>
      <c r="F28" s="2004"/>
      <c r="I28" s="2150"/>
      <c r="J28" s="1212"/>
      <c r="K28" s="280"/>
      <c r="L28" s="1200"/>
      <c r="M28" s="204" t="s">
        <v>382</v>
      </c>
      <c r="N28" s="294"/>
      <c r="O28" s="294"/>
      <c r="P28" s="294"/>
      <c r="Q28" s="294"/>
      <c r="R28" s="294"/>
      <c r="S28" s="294"/>
      <c r="T28" s="294"/>
      <c r="U28" s="294"/>
      <c r="V28" s="293"/>
      <c r="W28" s="294"/>
      <c r="X28" s="220"/>
      <c r="Z28" s="425"/>
      <c r="AA28" s="425" t="str">
        <f t="shared" si="0"/>
        <v>Добавить группу потребителей</v>
      </c>
      <c r="AB28" s="425"/>
      <c r="AC28" s="425"/>
    </row>
    <row r="29" spans="1:29" ht="14.25" customHeight="1">
      <c r="A29" s="1188" t="s">
        <v>2115</v>
      </c>
      <c r="B29" s="1188" t="s">
        <v>2116</v>
      </c>
      <c r="C29" s="1188" t="s">
        <v>2117</v>
      </c>
      <c r="D29" s="1188" t="s">
        <v>2118</v>
      </c>
      <c r="E29" s="1188"/>
      <c r="F29" s="607"/>
      <c r="G29" s="607"/>
      <c r="H29" s="434"/>
      <c r="I29" s="284"/>
      <c r="J29" s="303"/>
      <c r="K29" s="279"/>
      <c r="L29" s="1200"/>
      <c r="M29" s="291" t="s">
        <v>383</v>
      </c>
      <c r="N29" s="294"/>
      <c r="O29" s="294"/>
      <c r="P29" s="294"/>
      <c r="Q29" s="294"/>
      <c r="R29" s="294"/>
      <c r="S29" s="294"/>
      <c r="T29" s="294"/>
      <c r="U29" s="294"/>
      <c r="V29" s="293"/>
      <c r="W29" s="294"/>
      <c r="X29" s="220"/>
      <c r="Z29" s="425"/>
      <c r="AA29" s="425" t="str">
        <f t="shared" si="0"/>
        <v>Добавить схему подключения</v>
      </c>
      <c r="AB29" s="425"/>
      <c r="AC29" s="425"/>
    </row>
    <row r="30" spans="1:29" ht="14.25" customHeight="1">
      <c r="A30" s="1188" t="s">
        <v>2115</v>
      </c>
      <c r="B30" s="1188" t="s">
        <v>2116</v>
      </c>
      <c r="C30" s="1188" t="s">
        <v>2117</v>
      </c>
      <c r="D30" s="1188"/>
      <c r="E30" s="1188" t="s">
        <v>548</v>
      </c>
      <c r="F30" s="607"/>
      <c r="G30" s="607"/>
      <c r="H30" s="434"/>
      <c r="I30" s="284"/>
      <c r="J30" s="303"/>
      <c r="K30" s="279"/>
      <c r="L30" s="1201"/>
      <c r="M30" s="1190"/>
      <c r="N30" s="1191"/>
      <c r="O30" s="1191"/>
      <c r="P30" s="1191"/>
      <c r="Q30" s="1191"/>
      <c r="R30" s="1191"/>
      <c r="S30" s="1191"/>
      <c r="T30" s="1191"/>
      <c r="U30" s="1191"/>
      <c r="V30" s="1192"/>
      <c r="W30" s="1191"/>
      <c r="X30" s="1193"/>
      <c r="Z30" s="425"/>
      <c r="AA30" s="425" t="str">
        <f t="shared" si="0"/>
        <v/>
      </c>
      <c r="AB30" s="425"/>
      <c r="AC30" s="425"/>
    </row>
    <row r="31" spans="1:29" ht="14.25" customHeight="1">
      <c r="A31" s="1188" t="s">
        <v>2115</v>
      </c>
      <c r="B31" s="1188" t="s">
        <v>2116</v>
      </c>
      <c r="C31" s="1188"/>
      <c r="D31" s="1188"/>
      <c r="E31" s="1188" t="s">
        <v>2111</v>
      </c>
      <c r="F31" s="1176"/>
      <c r="G31" s="1176"/>
      <c r="H31" s="434"/>
      <c r="I31" s="282"/>
      <c r="J31" s="303"/>
      <c r="K31" s="283"/>
      <c r="L31" s="1201"/>
      <c r="M31" s="1194"/>
      <c r="N31" s="1191"/>
      <c r="O31" s="1191"/>
      <c r="P31" s="1191"/>
      <c r="Q31" s="1191"/>
      <c r="R31" s="1191"/>
      <c r="S31" s="1191"/>
      <c r="T31" s="1191"/>
      <c r="U31" s="1191"/>
      <c r="V31" s="1192"/>
      <c r="W31" s="1191"/>
      <c r="X31" s="1193"/>
      <c r="Z31" s="425"/>
      <c r="AA31" s="425" t="str">
        <f t="shared" si="0"/>
        <v/>
      </c>
      <c r="AB31" s="425"/>
      <c r="AC31" s="425"/>
    </row>
    <row r="32" spans="1:29" ht="14.25" customHeight="1">
      <c r="A32" s="1188" t="s">
        <v>2119</v>
      </c>
      <c r="B32" s="1188"/>
      <c r="C32" s="1188"/>
      <c r="D32" s="1188"/>
      <c r="E32" s="1188" t="s">
        <v>86</v>
      </c>
      <c r="F32" s="1176"/>
      <c r="G32" s="1176"/>
      <c r="H32" s="434"/>
      <c r="I32" s="284"/>
      <c r="J32" s="303"/>
      <c r="K32" s="279"/>
      <c r="L32" s="1201"/>
      <c r="M32" s="1195"/>
      <c r="N32" s="1191"/>
      <c r="O32" s="1191"/>
      <c r="P32" s="1191"/>
      <c r="Q32" s="1191"/>
      <c r="R32" s="1191"/>
      <c r="S32" s="1191"/>
      <c r="T32" s="1191"/>
      <c r="U32" s="1191"/>
      <c r="V32" s="1192"/>
      <c r="W32" s="1191"/>
      <c r="X32" s="1193"/>
      <c r="Z32" s="425"/>
      <c r="AA32" s="425" t="str">
        <f t="shared" si="0"/>
        <v/>
      </c>
      <c r="AB32" s="425"/>
      <c r="AC32" s="425"/>
    </row>
    <row r="33" spans="1:29" s="1951" customFormat="1" ht="11.25" customHeight="1">
      <c r="A33" s="1188"/>
      <c r="B33" s="1188"/>
      <c r="C33" s="1188"/>
      <c r="D33" s="1188"/>
      <c r="E33" s="1188" t="s">
        <v>418</v>
      </c>
      <c r="F33" s="1189"/>
      <c r="G33" s="1177"/>
      <c r="H33" s="434"/>
      <c r="L33" s="1202"/>
      <c r="M33" s="1196"/>
      <c r="N33" s="1191"/>
      <c r="O33" s="1191"/>
      <c r="P33" s="1191"/>
      <c r="Q33" s="1191"/>
      <c r="R33" s="1191"/>
      <c r="S33" s="1191"/>
      <c r="T33" s="1191"/>
      <c r="U33" s="1191"/>
      <c r="V33" s="1192"/>
      <c r="W33" s="1191"/>
      <c r="X33" s="1193"/>
      <c r="Y33" s="310"/>
      <c r="Z33" s="310"/>
      <c r="AA33" s="310"/>
      <c r="AB33" s="310"/>
      <c r="AC33" s="310"/>
    </row>
    <row r="34" spans="1:29" ht="11.25" customHeight="1">
      <c r="F34" s="1057"/>
      <c r="G34" s="1057"/>
      <c r="H34" s="434"/>
      <c r="I34" s="1057"/>
      <c r="J34" s="1057"/>
      <c r="K34" s="1057"/>
      <c r="Y34" s="1057"/>
      <c r="Z34" s="1057"/>
      <c r="AA34" s="1057"/>
      <c r="AB34" s="1057"/>
      <c r="AC34" s="1057"/>
    </row>
    <row r="35" spans="1:29" ht="27" customHeight="1">
      <c r="H35" s="434"/>
      <c r="L35" s="1209" t="s">
        <v>680</v>
      </c>
      <c r="M35" s="2145" t="s">
        <v>2113</v>
      </c>
      <c r="N35" s="2145"/>
      <c r="O35" s="2145"/>
      <c r="P35" s="2145"/>
      <c r="Q35" s="2145"/>
      <c r="R35" s="2145"/>
      <c r="S35" s="2145"/>
      <c r="T35" s="2145"/>
      <c r="U35" s="2145"/>
      <c r="V35" s="2145"/>
      <c r="W35" s="2145"/>
      <c r="X35" s="2145"/>
    </row>
    <row r="36" spans="1:29" ht="104.25" customHeight="1">
      <c r="F36" s="1224"/>
      <c r="G36" s="1224"/>
      <c r="H36" s="434"/>
      <c r="I36" s="1224"/>
      <c r="M36" s="2145" t="s">
        <v>2114</v>
      </c>
      <c r="N36" s="2145"/>
      <c r="O36" s="2145"/>
      <c r="P36" s="2145"/>
      <c r="Q36" s="2145"/>
      <c r="R36" s="2145"/>
      <c r="S36" s="2145"/>
      <c r="T36" s="2145"/>
      <c r="U36" s="2145"/>
      <c r="V36" s="2145"/>
      <c r="W36" s="2145"/>
      <c r="X36" s="2145"/>
    </row>
    <row r="37" spans="1:29" ht="14.25" customHeight="1">
      <c r="H37" s="434"/>
    </row>
    <row r="38" spans="1:29" ht="14.25" customHeight="1">
      <c r="H38" s="434"/>
    </row>
    <row r="39" spans="1:29" ht="14.25" customHeight="1">
      <c r="H39" s="434"/>
    </row>
    <row r="40" spans="1:29" ht="14.25" customHeight="1">
      <c r="H40" s="434"/>
    </row>
  </sheetData>
  <sheetProtection formatColumns="0" formatRows="0" insertRows="0" deleteColumns="0" deleteRows="0" sort="0" autoFilter="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0.5703125" style="1856"/>
    <col min="2" max="2" width="11" style="1856" customWidth="1"/>
    <col min="3" max="3" width="10.5703125" style="1856"/>
    <col min="4" max="4" width="11.85546875" style="1856" customWidth="1"/>
    <col min="5" max="5" width="12.28515625" style="1856" customWidth="1"/>
    <col min="6" max="8" width="12.28515625" style="1973" customWidth="1"/>
    <col min="9" max="9" width="3.7109375" style="1973" customWidth="1"/>
    <col min="10" max="11" width="3.7109375" style="1890" customWidth="1"/>
    <col min="12" max="12" width="12.7109375" style="1891" customWidth="1"/>
    <col min="13" max="13" width="32" style="1856" customWidth="1"/>
    <col min="14" max="14" width="1.7109375" style="1856" customWidth="1"/>
    <col min="15" max="18" width="24.7109375" style="1856" customWidth="1"/>
    <col min="19" max="19" width="11.7109375" style="1856" customWidth="1"/>
    <col min="20" max="20" width="3.7109375" style="1856" customWidth="1"/>
    <col min="21" max="21" width="11.7109375" style="1856" customWidth="1"/>
    <col min="22" max="22" width="8.5703125" style="1856" customWidth="1"/>
    <col min="23" max="23" width="4.7109375" style="1856" customWidth="1"/>
    <col min="24" max="24" width="115.7109375" style="1856" customWidth="1"/>
    <col min="25" max="26" width="10.5703125" style="1811"/>
    <col min="27" max="27" width="11.140625" style="1811" customWidth="1"/>
    <col min="28" max="29" width="10.5703125" style="1811"/>
  </cols>
  <sheetData>
    <row r="1" spans="6:29" ht="14.25" hidden="1" customHeight="1">
      <c r="R1" s="252"/>
      <c r="S1" s="252"/>
    </row>
    <row r="2" spans="6:29" ht="14.25" hidden="1" customHeight="1">
      <c r="V2" s="252"/>
    </row>
    <row r="3" spans="6:29" ht="14.25" hidden="1" customHeight="1"/>
    <row r="4" spans="6:29" ht="14.25" customHeight="1">
      <c r="J4" s="304"/>
      <c r="K4" s="304"/>
      <c r="L4" s="1197"/>
      <c r="M4" s="289"/>
      <c r="N4" s="289"/>
      <c r="O4" s="434"/>
      <c r="P4" s="434"/>
      <c r="Q4" s="434"/>
      <c r="R4" s="434"/>
      <c r="S4" s="434"/>
      <c r="T4" s="434"/>
      <c r="U4" s="434"/>
      <c r="V4" s="434"/>
    </row>
    <row r="5" spans="6:29" ht="64.5" customHeight="1">
      <c r="J5" s="304"/>
      <c r="K5" s="304"/>
      <c r="L5" s="2411" t="s">
        <v>2109</v>
      </c>
      <c r="M5" s="2411"/>
      <c r="N5" s="2411"/>
      <c r="O5" s="2411"/>
      <c r="P5" s="2411"/>
      <c r="Q5" s="2411"/>
      <c r="R5" s="2411"/>
      <c r="S5" s="2411"/>
      <c r="T5" s="2411"/>
      <c r="U5" s="2411"/>
      <c r="V5" s="1154"/>
    </row>
    <row r="6" spans="6:29" ht="14.25" customHeight="1">
      <c r="J6" s="304"/>
      <c r="K6" s="304"/>
      <c r="L6" s="2412" t="str">
        <f>IF(org=0,"Не определено",org)</f>
        <v>ООО "Горводоканал"</v>
      </c>
      <c r="M6" s="2412"/>
      <c r="N6" s="2412"/>
      <c r="O6" s="2412"/>
      <c r="P6" s="2412"/>
      <c r="Q6" s="2412"/>
      <c r="R6" s="2412"/>
      <c r="S6" s="2412"/>
      <c r="T6" s="2412"/>
      <c r="U6" s="2412"/>
      <c r="V6" s="1154"/>
    </row>
    <row r="7" spans="6:29" ht="14.25" customHeight="1">
      <c r="J7" s="304"/>
      <c r="K7" s="304"/>
      <c r="L7" s="1197"/>
      <c r="M7" s="289"/>
      <c r="N7" s="289"/>
      <c r="O7" s="245"/>
      <c r="P7" s="245"/>
      <c r="Q7" s="245"/>
      <c r="R7" s="245"/>
      <c r="S7" s="245"/>
      <c r="T7" s="245"/>
      <c r="U7" s="245"/>
      <c r="V7" s="245"/>
      <c r="W7" s="434"/>
    </row>
    <row r="8" spans="6:29" s="1887" customFormat="1" ht="45" customHeight="1">
      <c r="F8" s="1160"/>
      <c r="G8" s="1160"/>
      <c r="H8" s="1160"/>
      <c r="L8" s="1198"/>
      <c r="M8" s="212" t="s">
        <v>37</v>
      </c>
      <c r="N8" s="221"/>
      <c r="O8" s="2139" t="str">
        <f>IF(TITLE_NAME_OR_PR_CHANGE="",IF(TITLE_NAME_OR_PR="","",TITLE_NAME_OR_PR),TITLE_NAME_OR_PR_CHANGE)</f>
        <v/>
      </c>
      <c r="P8" s="2139"/>
      <c r="Q8" s="2139"/>
      <c r="R8" s="2139"/>
      <c r="S8" s="2139"/>
      <c r="T8" s="2139"/>
      <c r="U8" s="2139"/>
      <c r="V8" s="251"/>
      <c r="W8" s="251"/>
      <c r="X8" s="198"/>
      <c r="Y8" s="295"/>
      <c r="Z8" s="295"/>
      <c r="AA8" s="295"/>
      <c r="AB8" s="295"/>
      <c r="AC8" s="295"/>
    </row>
    <row r="9" spans="6:29" s="1887" customFormat="1" ht="22.5" customHeight="1">
      <c r="F9" s="1160"/>
      <c r="G9" s="1160"/>
      <c r="H9" s="1160"/>
      <c r="L9" s="1198"/>
      <c r="M9" s="212" t="s">
        <v>393</v>
      </c>
      <c r="N9" s="221"/>
      <c r="O9" s="2139" t="str">
        <f>IF(TITLE_DATE_CHANGE_PERIOD="",IF(TITLE_DATE_PR="","",TITLE_DATE_PR),TITLE_DATE_CHANGE_PERIOD)</f>
        <v/>
      </c>
      <c r="P9" s="2139"/>
      <c r="Q9" s="2139"/>
      <c r="R9" s="2139"/>
      <c r="S9" s="2139"/>
      <c r="T9" s="2139"/>
      <c r="U9" s="2139"/>
      <c r="V9" s="251"/>
      <c r="W9" s="251"/>
      <c r="X9" s="198"/>
      <c r="Y9" s="295"/>
      <c r="Z9" s="295"/>
      <c r="AA9" s="295"/>
      <c r="AB9" s="295"/>
      <c r="AC9" s="295"/>
    </row>
    <row r="10" spans="6:29" s="1887" customFormat="1" ht="22.5" customHeight="1">
      <c r="F10" s="1160"/>
      <c r="G10" s="1160"/>
      <c r="H10" s="1160"/>
      <c r="L10" s="1162"/>
      <c r="M10" s="212" t="s">
        <v>394</v>
      </c>
      <c r="N10" s="221"/>
      <c r="O10" s="2139" t="str">
        <f>IF(TITLE_NUMBER_PR_CHANGE="",IF(TITLE_NUMBER_PR="","",TITLE_NUMBER_PR),TITLE_NUMBER_PR_CHANGE)</f>
        <v/>
      </c>
      <c r="P10" s="2139"/>
      <c r="Q10" s="2139"/>
      <c r="R10" s="2139"/>
      <c r="S10" s="2139"/>
      <c r="T10" s="2139"/>
      <c r="U10" s="2139"/>
      <c r="V10" s="251"/>
      <c r="W10" s="251"/>
      <c r="X10" s="198"/>
      <c r="Y10" s="295"/>
      <c r="Z10" s="295"/>
      <c r="AA10" s="295"/>
      <c r="AB10" s="295"/>
      <c r="AC10" s="295"/>
    </row>
    <row r="11" spans="6:29" s="1887" customFormat="1" ht="22.5" customHeight="1">
      <c r="F11" s="1160"/>
      <c r="G11" s="1160"/>
      <c r="H11" s="1160"/>
      <c r="L11" s="1162"/>
      <c r="M11" s="212" t="s">
        <v>38</v>
      </c>
      <c r="N11" s="221"/>
      <c r="O11" s="2139" t="str">
        <f>IF(TITLE_IST_PUB_CHANGE="",IF(TITLE_IST_PUB="","",TITLE_IST_PUB),TITLE_IST_PUB_CHANGE)</f>
        <v/>
      </c>
      <c r="P11" s="2139"/>
      <c r="Q11" s="2139"/>
      <c r="R11" s="2139"/>
      <c r="S11" s="2139"/>
      <c r="T11" s="2139"/>
      <c r="U11" s="2139"/>
      <c r="V11" s="251"/>
      <c r="W11" s="251"/>
      <c r="X11" s="198"/>
      <c r="Y11" s="295"/>
      <c r="Z11" s="295"/>
      <c r="AA11" s="295"/>
      <c r="AB11" s="295"/>
      <c r="AC11" s="295"/>
    </row>
    <row r="12" spans="6:29" s="1887" customFormat="1" ht="11.25" hidden="1" customHeight="1">
      <c r="F12" s="1160"/>
      <c r="G12" s="1160"/>
      <c r="H12" s="1160"/>
      <c r="L12" s="2410"/>
      <c r="M12" s="2410"/>
      <c r="N12" s="1208"/>
      <c r="O12" s="251"/>
      <c r="P12" s="251"/>
      <c r="Q12" s="251"/>
      <c r="R12" s="251"/>
      <c r="S12" s="251"/>
      <c r="T12" s="251"/>
      <c r="U12" s="251"/>
      <c r="V12" s="196" t="s">
        <v>397</v>
      </c>
      <c r="Y12" s="295"/>
      <c r="Z12" s="295"/>
      <c r="AA12" s="295"/>
      <c r="AB12" s="295"/>
      <c r="AC12" s="295"/>
    </row>
    <row r="13" spans="6:29" ht="14.25" customHeight="1">
      <c r="J13" s="304"/>
      <c r="K13" s="304"/>
      <c r="L13" s="1197"/>
      <c r="M13" s="289"/>
      <c r="N13" s="1155"/>
      <c r="O13" s="2158"/>
      <c r="P13" s="2158"/>
      <c r="Q13" s="2158"/>
      <c r="R13" s="2158"/>
      <c r="S13" s="2158"/>
      <c r="T13" s="2158"/>
      <c r="U13" s="2158"/>
      <c r="V13" s="2158"/>
    </row>
    <row r="14" spans="6:29" ht="14.25" customHeight="1">
      <c r="J14" s="304"/>
      <c r="K14" s="304"/>
      <c r="L14" s="2019" t="s">
        <v>268</v>
      </c>
      <c r="M14" s="2019"/>
      <c r="N14" s="2019"/>
      <c r="O14" s="2019"/>
      <c r="P14" s="2019"/>
      <c r="Q14" s="2019"/>
      <c r="R14" s="2019"/>
      <c r="S14" s="2019"/>
      <c r="T14" s="2019"/>
      <c r="U14" s="2019"/>
      <c r="V14" s="2019"/>
      <c r="W14" s="2019"/>
      <c r="X14" s="2019" t="s">
        <v>269</v>
      </c>
    </row>
    <row r="15" spans="6:29" ht="14.25" customHeight="1">
      <c r="J15" s="304"/>
      <c r="K15" s="304"/>
      <c r="L15" s="2159" t="s">
        <v>73</v>
      </c>
      <c r="M15" s="2107" t="s">
        <v>398</v>
      </c>
      <c r="N15" s="218"/>
      <c r="O15" s="2160" t="s">
        <v>2110</v>
      </c>
      <c r="P15" s="2161"/>
      <c r="Q15" s="2161"/>
      <c r="R15" s="2161"/>
      <c r="S15" s="2161"/>
      <c r="T15" s="2161"/>
      <c r="U15" s="2162"/>
      <c r="V15" s="2163" t="s">
        <v>400</v>
      </c>
      <c r="W15" s="2166" t="s">
        <v>1023</v>
      </c>
      <c r="X15" s="2019"/>
    </row>
    <row r="16" spans="6:29" ht="33.75" customHeight="1">
      <c r="J16" s="304"/>
      <c r="K16" s="304"/>
      <c r="L16" s="2159"/>
      <c r="M16" s="2107"/>
      <c r="N16" s="940"/>
      <c r="O16" s="2076" t="s">
        <v>403</v>
      </c>
      <c r="P16" s="2076" t="s">
        <v>404</v>
      </c>
      <c r="Q16" s="2001" t="s">
        <v>405</v>
      </c>
      <c r="R16" s="2000"/>
      <c r="S16" s="2001" t="s">
        <v>419</v>
      </c>
      <c r="T16" s="2006"/>
      <c r="U16" s="2000"/>
      <c r="V16" s="2164"/>
      <c r="W16" s="2167"/>
      <c r="X16" s="2019"/>
    </row>
    <row r="17" spans="1:29" ht="33.75" customHeight="1">
      <c r="A17" s="1181" t="s">
        <v>116</v>
      </c>
      <c r="B17" s="1181" t="s">
        <v>117</v>
      </c>
      <c r="C17" s="1181" t="s">
        <v>118</v>
      </c>
      <c r="D17" s="1181" t="s">
        <v>119</v>
      </c>
      <c r="E17" s="1181"/>
      <c r="J17" s="304"/>
      <c r="K17" s="304"/>
      <c r="L17" s="2159"/>
      <c r="M17" s="2107"/>
      <c r="N17" s="219"/>
      <c r="O17" s="2132"/>
      <c r="P17" s="2132"/>
      <c r="Q17" s="1130" t="s">
        <v>414</v>
      </c>
      <c r="R17" s="1130" t="s">
        <v>415</v>
      </c>
      <c r="S17" s="1213" t="s">
        <v>416</v>
      </c>
      <c r="T17" s="2112" t="s">
        <v>417</v>
      </c>
      <c r="U17" s="2126"/>
      <c r="V17" s="2165"/>
      <c r="W17" s="2168"/>
      <c r="X17" s="2019"/>
    </row>
    <row r="18" spans="1:29" s="1810" customFormat="1" ht="11.25" customHeight="1">
      <c r="A18" s="1181"/>
      <c r="B18" s="1181"/>
      <c r="C18" s="1181"/>
      <c r="D18" s="1181"/>
      <c r="E18" s="1181"/>
      <c r="F18" s="1207"/>
      <c r="G18" s="1207"/>
      <c r="H18" s="1207"/>
      <c r="I18" s="1157"/>
      <c r="J18" s="1158"/>
      <c r="K18" s="1173">
        <v>1</v>
      </c>
      <c r="L18" s="1199" t="s">
        <v>91</v>
      </c>
      <c r="M18" s="1174" t="s">
        <v>92</v>
      </c>
      <c r="N18" s="1156" t="str">
        <f ca="1">OFFSET(N18,0,-1)</f>
        <v>2</v>
      </c>
      <c r="O18" s="1210">
        <f ca="1">OFFSET(O18,0,-1)+1</f>
        <v>3</v>
      </c>
      <c r="P18" s="1210"/>
      <c r="Q18" s="1210">
        <f ca="1">OFFSET(Q18,0,-1)+1</f>
        <v>1</v>
      </c>
      <c r="R18" s="1210">
        <f ca="1">OFFSET(R18,0,-1)+1</f>
        <v>2</v>
      </c>
      <c r="S18" s="1210">
        <f ca="1">OFFSET(S18,0,-1)+1</f>
        <v>3</v>
      </c>
      <c r="T18" s="2157">
        <f ca="1">OFFSET(T18,0,-1)+1</f>
        <v>4</v>
      </c>
      <c r="U18" s="2157"/>
      <c r="V18" s="1210">
        <f ca="1">OFFSET(V18,0,-2)+1</f>
        <v>5</v>
      </c>
      <c r="W18" s="1156">
        <f ca="1">OFFSET(W18,0,-1)</f>
        <v>5</v>
      </c>
      <c r="X18" s="1210">
        <f ca="1">OFFSET(X18,0,-1)+1</f>
        <v>6</v>
      </c>
      <c r="Y18" s="436"/>
      <c r="Z18" s="436"/>
      <c r="AA18" s="436"/>
      <c r="AB18" s="436"/>
      <c r="AC18" s="436"/>
    </row>
    <row r="19" spans="1:29" ht="21" customHeight="1">
      <c r="A19" s="1188" t="s">
        <v>2120</v>
      </c>
      <c r="B19" s="1188" t="s">
        <v>2121</v>
      </c>
      <c r="C19" s="1188" t="s">
        <v>2122</v>
      </c>
      <c r="D19" s="1188" t="s">
        <v>2123</v>
      </c>
      <c r="E19" s="1188"/>
      <c r="F19" s="607"/>
      <c r="G19" s="607"/>
      <c r="H19" s="607"/>
      <c r="I19" s="285"/>
      <c r="J19" s="284"/>
      <c r="K19" s="279"/>
      <c r="L19" s="1214" t="e">
        <f>INDEX(PT_DIFFERENTIATION_NUM_NTAR,MATCH(A19,PT_DIFFERENTIATION_NTAR_ID,0))</f>
        <v>#N/A</v>
      </c>
      <c r="M19" s="215" t="s">
        <v>105</v>
      </c>
      <c r="N19" s="217"/>
      <c r="O19" s="2405" t="e">
        <f>INDEX(PT_DIFFERENTIATION_NTAR,MATCH(A19,PT_DIFFERENTIATION_NTAR_ID,0))</f>
        <v>#N/A</v>
      </c>
      <c r="P19" s="2405"/>
      <c r="Q19" s="2405"/>
      <c r="R19" s="2405"/>
      <c r="S19" s="2405"/>
      <c r="T19" s="2405"/>
      <c r="U19" s="2405"/>
      <c r="V19" s="2405"/>
      <c r="W19" s="2405"/>
      <c r="X19" s="1179" t="s">
        <v>366</v>
      </c>
      <c r="Z19" s="425"/>
      <c r="AA19" s="425" t="str">
        <f t="shared" ref="AA19:AA32" si="0">IF(M19="","",M19)</f>
        <v>Наименование тарифа</v>
      </c>
      <c r="AB19" s="425"/>
      <c r="AC19" s="425"/>
    </row>
    <row r="20" spans="1:29" ht="21" customHeight="1">
      <c r="A20" s="1188" t="s">
        <v>2120</v>
      </c>
      <c r="B20" s="1188" t="s">
        <v>2121</v>
      </c>
      <c r="C20" s="1188" t="s">
        <v>2122</v>
      </c>
      <c r="D20" s="1188" t="s">
        <v>2123</v>
      </c>
      <c r="E20" s="1188"/>
      <c r="F20" s="607"/>
      <c r="G20" s="607"/>
      <c r="H20" s="607"/>
      <c r="I20" s="1211"/>
      <c r="J20" s="276"/>
      <c r="K20" s="277"/>
      <c r="L20" s="1214" t="e">
        <f>INDEX(PT_DIFFERENTIATION_NUM_TER,MATCH(B19,PT_DIFFERENTIATION_TER_ID,0))</f>
        <v>#N/A</v>
      </c>
      <c r="M20" s="227" t="s">
        <v>367</v>
      </c>
      <c r="N20" s="217"/>
      <c r="O20" s="2405" t="e">
        <f>INDEX(PT_DIFFERENTIATION_TER,MATCH(B19,PT_DIFFERENTIATION_TER_ID,0))</f>
        <v>#N/A</v>
      </c>
      <c r="P20" s="2405"/>
      <c r="Q20" s="2405"/>
      <c r="R20" s="2405"/>
      <c r="S20" s="2405"/>
      <c r="T20" s="2405"/>
      <c r="U20" s="2405"/>
      <c r="V20" s="2405"/>
      <c r="W20" s="2405"/>
      <c r="X20" s="1179" t="s">
        <v>368</v>
      </c>
      <c r="Z20" s="425"/>
      <c r="AA20" s="425" t="str">
        <f t="shared" si="0"/>
        <v>Территория действия тарифа</v>
      </c>
      <c r="AB20" s="425"/>
      <c r="AC20" s="425"/>
    </row>
    <row r="21" spans="1:29" ht="22.5" customHeight="1">
      <c r="A21" s="1188" t="s">
        <v>2120</v>
      </c>
      <c r="B21" s="1188" t="s">
        <v>2121</v>
      </c>
      <c r="C21" s="1188" t="s">
        <v>2122</v>
      </c>
      <c r="D21" s="1188" t="s">
        <v>2123</v>
      </c>
      <c r="E21" s="1188"/>
      <c r="F21" s="607"/>
      <c r="G21" s="607"/>
      <c r="H21" s="607"/>
      <c r="I21" s="278"/>
      <c r="J21" s="276"/>
      <c r="K21" s="277"/>
      <c r="L21" s="1214" t="e">
        <f>INDEX(PT_DIFFERENTIATION_NUM_CS,MATCH(C19,PT_DIFFERENTIATION_CS_ID,0))</f>
        <v>#N/A</v>
      </c>
      <c r="M21" s="228" t="s">
        <v>369</v>
      </c>
      <c r="N21" s="217"/>
      <c r="O21" s="2405" t="e">
        <f>INDEX(PT_DIFFERENTIATION_CS,MATCH(C19,PT_DIFFERENTIATION_CS_ID,0))</f>
        <v>#N/A</v>
      </c>
      <c r="P21" s="2405"/>
      <c r="Q21" s="2405"/>
      <c r="R21" s="2405"/>
      <c r="S21" s="2405"/>
      <c r="T21" s="2405"/>
      <c r="U21" s="2405"/>
      <c r="V21" s="2405"/>
      <c r="W21" s="2405"/>
      <c r="X21" s="1179" t="s">
        <v>370</v>
      </c>
      <c r="Z21" s="425"/>
      <c r="AA21" s="425" t="str">
        <f t="shared" si="0"/>
        <v xml:space="preserve">Наименование системы теплоснабжения </v>
      </c>
      <c r="AB21" s="425"/>
      <c r="AC21" s="425"/>
    </row>
    <row r="22" spans="1:29" ht="21" customHeight="1">
      <c r="A22" s="1188" t="s">
        <v>2120</v>
      </c>
      <c r="B22" s="1188" t="s">
        <v>2121</v>
      </c>
      <c r="C22" s="1188" t="s">
        <v>2122</v>
      </c>
      <c r="D22" s="1188" t="s">
        <v>2123</v>
      </c>
      <c r="E22" s="1188"/>
      <c r="F22" s="607"/>
      <c r="G22" s="607"/>
      <c r="H22" s="607"/>
      <c r="I22" s="278"/>
      <c r="J22" s="276"/>
      <c r="K22" s="277"/>
      <c r="L22" s="1214" t="e">
        <f>INDEX(PT_DIFFERENTIATION_NUM_IST_TE,MATCH(D19,PT_DIFFERENTIATION_IST_TE_ID,0))</f>
        <v>#N/A</v>
      </c>
      <c r="M22" s="229" t="s">
        <v>371</v>
      </c>
      <c r="N22" s="217"/>
      <c r="O22" s="2405" t="e">
        <f>INDEX(PT_DIFFERENTIATION_IST_TE,MATCH(D19,PT_DIFFERENTIATION_IST_TE_ID,0))</f>
        <v>#N/A</v>
      </c>
      <c r="P22" s="2405"/>
      <c r="Q22" s="2405"/>
      <c r="R22" s="2405"/>
      <c r="S22" s="2405"/>
      <c r="T22" s="2405"/>
      <c r="U22" s="2405"/>
      <c r="V22" s="2405"/>
      <c r="W22" s="2405"/>
      <c r="X22" s="1179" t="s">
        <v>372</v>
      </c>
      <c r="Z22" s="425"/>
      <c r="AA22" s="425" t="str">
        <f t="shared" si="0"/>
        <v xml:space="preserve">Источник тепловой энергии  </v>
      </c>
      <c r="AB22" s="425"/>
      <c r="AC22" s="425"/>
    </row>
    <row r="23" spans="1:29" ht="94.5" customHeight="1">
      <c r="A23" s="1188" t="s">
        <v>2120</v>
      </c>
      <c r="B23" s="1188" t="s">
        <v>2121</v>
      </c>
      <c r="C23" s="1188" t="s">
        <v>2122</v>
      </c>
      <c r="D23" s="1188" t="s">
        <v>2123</v>
      </c>
      <c r="E23" s="1188"/>
      <c r="F23" s="2004" t="e">
        <f>L22&amp;".1"</f>
        <v>#N/A</v>
      </c>
      <c r="I23" s="2150">
        <v>1</v>
      </c>
      <c r="J23" s="1212"/>
      <c r="K23" s="280"/>
      <c r="L23" s="1214" t="e">
        <f>$F$23</f>
        <v>#N/A</v>
      </c>
      <c r="M23" s="202" t="s">
        <v>374</v>
      </c>
      <c r="N23" s="217"/>
      <c r="O23" s="2406"/>
      <c r="P23" s="2406"/>
      <c r="Q23" s="2406"/>
      <c r="R23" s="2406"/>
      <c r="S23" s="2406"/>
      <c r="T23" s="2406"/>
      <c r="U23" s="2406"/>
      <c r="V23" s="2406"/>
      <c r="W23" s="2406"/>
      <c r="X23" s="1179" t="s">
        <v>375</v>
      </c>
      <c r="Z23" s="425"/>
      <c r="AA23" s="425" t="str">
        <f t="shared" si="0"/>
        <v>Схема подключения теплопотребляющей установки к коллектору источника тепловой энергии</v>
      </c>
      <c r="AB23" s="425"/>
      <c r="AC23" s="425"/>
    </row>
    <row r="24" spans="1:29" ht="84" customHeight="1">
      <c r="A24" s="1188" t="s">
        <v>2120</v>
      </c>
      <c r="B24" s="1188" t="s">
        <v>2121</v>
      </c>
      <c r="C24" s="1188" t="s">
        <v>2122</v>
      </c>
      <c r="D24" s="1188" t="s">
        <v>2123</v>
      </c>
      <c r="E24" s="1188"/>
      <c r="F24" s="2004"/>
      <c r="G24" s="2004" t="e">
        <f>F23&amp;".1"</f>
        <v>#N/A</v>
      </c>
      <c r="I24" s="2150"/>
      <c r="J24" s="2150">
        <v>1</v>
      </c>
      <c r="K24" s="281"/>
      <c r="L24" s="1214" t="e">
        <f>$G$24</f>
        <v>#N/A</v>
      </c>
      <c r="M24" s="203" t="s">
        <v>377</v>
      </c>
      <c r="N24" s="217"/>
      <c r="O24" s="2407"/>
      <c r="P24" s="2408"/>
      <c r="Q24" s="2408"/>
      <c r="R24" s="2408"/>
      <c r="S24" s="2408"/>
      <c r="T24" s="2408"/>
      <c r="U24" s="2408"/>
      <c r="V24" s="2408"/>
      <c r="W24" s="2409"/>
      <c r="X24" s="1179" t="s">
        <v>378</v>
      </c>
      <c r="Z24" s="425"/>
      <c r="AA24" s="425" t="str">
        <f t="shared" si="0"/>
        <v>Группа потребителей</v>
      </c>
      <c r="AB24" s="425"/>
      <c r="AC24" s="425"/>
    </row>
    <row r="25" spans="1:29" ht="11.25" customHeight="1">
      <c r="A25" s="1188" t="s">
        <v>2120</v>
      </c>
      <c r="B25" s="1188" t="s">
        <v>2121</v>
      </c>
      <c r="C25" s="1188" t="s">
        <v>2122</v>
      </c>
      <c r="D25" s="1188" t="s">
        <v>2123</v>
      </c>
      <c r="E25" s="1188"/>
      <c r="F25" s="2004"/>
      <c r="G25" s="2004"/>
      <c r="H25" s="2004" t="e">
        <f>G24&amp;".1"</f>
        <v>#N/A</v>
      </c>
      <c r="I25" s="2150"/>
      <c r="J25" s="2150"/>
      <c r="K25" s="281">
        <v>1</v>
      </c>
      <c r="L25" s="1214" t="e">
        <f>$H$25</f>
        <v>#N/A</v>
      </c>
      <c r="M25" s="1180"/>
      <c r="N25" s="217"/>
      <c r="O25" s="668"/>
      <c r="P25" s="249"/>
      <c r="Q25" s="668"/>
      <c r="R25" s="1178"/>
      <c r="S25" s="2151"/>
      <c r="T25" s="2029" t="s">
        <v>50</v>
      </c>
      <c r="U25" s="2151"/>
      <c r="V25" s="2029" t="s">
        <v>48</v>
      </c>
      <c r="W25" s="249"/>
      <c r="X25" s="2169" t="s">
        <v>380</v>
      </c>
      <c r="Y25" s="436" t="e">
        <f ca="1">STRCHECKDATE(O26:W26)</f>
        <v>#NAME?</v>
      </c>
      <c r="Z25" s="425"/>
      <c r="AA25" s="425" t="str">
        <f t="shared" si="0"/>
        <v/>
      </c>
      <c r="AB25" s="425"/>
      <c r="AC25" s="425"/>
    </row>
    <row r="26" spans="1:29" ht="11.25" customHeight="1">
      <c r="A26" s="1188" t="s">
        <v>2120</v>
      </c>
      <c r="B26" s="1188" t="s">
        <v>2121</v>
      </c>
      <c r="C26" s="1188" t="s">
        <v>2122</v>
      </c>
      <c r="D26" s="1188" t="s">
        <v>2123</v>
      </c>
      <c r="E26" s="1188"/>
      <c r="F26" s="2004"/>
      <c r="G26" s="2004"/>
      <c r="H26" s="2004"/>
      <c r="I26" s="2150"/>
      <c r="J26" s="2150"/>
      <c r="K26" s="281"/>
      <c r="L26" s="1215"/>
      <c r="M26" s="217"/>
      <c r="N26" s="217"/>
      <c r="O26" s="249"/>
      <c r="P26" s="249"/>
      <c r="Q26" s="249"/>
      <c r="R26" s="253" t="str">
        <f>S25&amp;"-"&amp;U25</f>
        <v>-</v>
      </c>
      <c r="S26" s="2152"/>
      <c r="T26" s="2029"/>
      <c r="U26" s="2152"/>
      <c r="V26" s="2029"/>
      <c r="W26" s="249"/>
      <c r="X26" s="2170"/>
      <c r="Z26" s="425"/>
      <c r="AA26" s="425" t="str">
        <f t="shared" si="0"/>
        <v/>
      </c>
      <c r="AB26" s="425"/>
      <c r="AC26" s="425"/>
    </row>
    <row r="27" spans="1:29" ht="15" customHeight="1">
      <c r="A27" s="1188" t="s">
        <v>2120</v>
      </c>
      <c r="B27" s="1188" t="s">
        <v>2121</v>
      </c>
      <c r="C27" s="1188" t="s">
        <v>2122</v>
      </c>
      <c r="D27" s="1188" t="s">
        <v>2123</v>
      </c>
      <c r="E27" s="1188"/>
      <c r="F27" s="2004"/>
      <c r="G27" s="2004"/>
      <c r="I27" s="2150"/>
      <c r="J27" s="2150"/>
      <c r="K27" s="280"/>
      <c r="L27" s="1200"/>
      <c r="M27" s="205" t="s">
        <v>381</v>
      </c>
      <c r="N27" s="294"/>
      <c r="O27" s="294"/>
      <c r="P27" s="294"/>
      <c r="Q27" s="294"/>
      <c r="R27" s="294"/>
      <c r="S27" s="294"/>
      <c r="T27" s="294"/>
      <c r="U27" s="294"/>
      <c r="V27" s="294"/>
      <c r="W27" s="248"/>
      <c r="X27" s="2171"/>
      <c r="Z27" s="425"/>
      <c r="AA27" s="425" t="str">
        <f t="shared" si="0"/>
        <v>Добавить вид теплоносителя (параметры теплоносителя)</v>
      </c>
      <c r="AB27" s="425"/>
      <c r="AC27" s="425"/>
    </row>
    <row r="28" spans="1:29" ht="15" customHeight="1">
      <c r="A28" s="1188" t="s">
        <v>2120</v>
      </c>
      <c r="B28" s="1188" t="s">
        <v>2121</v>
      </c>
      <c r="C28" s="1188" t="s">
        <v>2122</v>
      </c>
      <c r="D28" s="1188" t="s">
        <v>2123</v>
      </c>
      <c r="E28" s="1188"/>
      <c r="F28" s="2004"/>
      <c r="I28" s="2150"/>
      <c r="J28" s="1212"/>
      <c r="K28" s="280"/>
      <c r="L28" s="1200"/>
      <c r="M28" s="204" t="s">
        <v>382</v>
      </c>
      <c r="N28" s="294"/>
      <c r="O28" s="294"/>
      <c r="P28" s="294"/>
      <c r="Q28" s="294"/>
      <c r="R28" s="294"/>
      <c r="S28" s="294"/>
      <c r="T28" s="294"/>
      <c r="U28" s="294"/>
      <c r="V28" s="293"/>
      <c r="W28" s="294"/>
      <c r="X28" s="220"/>
      <c r="Z28" s="425"/>
      <c r="AA28" s="425" t="str">
        <f t="shared" si="0"/>
        <v>Добавить группу потребителей</v>
      </c>
      <c r="AB28" s="425"/>
      <c r="AC28" s="425"/>
    </row>
    <row r="29" spans="1:29" ht="14.25" customHeight="1">
      <c r="A29" s="1188" t="s">
        <v>2120</v>
      </c>
      <c r="B29" s="1188" t="s">
        <v>2121</v>
      </c>
      <c r="C29" s="1188" t="s">
        <v>2122</v>
      </c>
      <c r="D29" s="1188" t="s">
        <v>2123</v>
      </c>
      <c r="E29" s="1188"/>
      <c r="F29" s="607"/>
      <c r="G29" s="607"/>
      <c r="H29" s="434"/>
      <c r="I29" s="284"/>
      <c r="J29" s="303"/>
      <c r="K29" s="279"/>
      <c r="L29" s="1200"/>
      <c r="M29" s="291" t="s">
        <v>383</v>
      </c>
      <c r="N29" s="294"/>
      <c r="O29" s="294"/>
      <c r="P29" s="294"/>
      <c r="Q29" s="294"/>
      <c r="R29" s="294"/>
      <c r="S29" s="294"/>
      <c r="T29" s="294"/>
      <c r="U29" s="294"/>
      <c r="V29" s="293"/>
      <c r="W29" s="294"/>
      <c r="X29" s="220"/>
      <c r="Z29" s="425"/>
      <c r="AA29" s="425" t="str">
        <f t="shared" si="0"/>
        <v>Добавить схему подключения</v>
      </c>
      <c r="AB29" s="425"/>
      <c r="AC29" s="425"/>
    </row>
    <row r="30" spans="1:29" ht="14.25" customHeight="1">
      <c r="A30" s="1188" t="s">
        <v>2120</v>
      </c>
      <c r="B30" s="1188" t="s">
        <v>2121</v>
      </c>
      <c r="C30" s="1188" t="s">
        <v>2122</v>
      </c>
      <c r="D30" s="1188"/>
      <c r="E30" s="1188" t="s">
        <v>548</v>
      </c>
      <c r="F30" s="607"/>
      <c r="G30" s="607"/>
      <c r="H30" s="434"/>
      <c r="I30" s="284"/>
      <c r="J30" s="303"/>
      <c r="K30" s="279"/>
      <c r="L30" s="1201"/>
      <c r="M30" s="1190"/>
      <c r="N30" s="1191"/>
      <c r="O30" s="1191"/>
      <c r="P30" s="1191"/>
      <c r="Q30" s="1191"/>
      <c r="R30" s="1191"/>
      <c r="S30" s="1191"/>
      <c r="T30" s="1191"/>
      <c r="U30" s="1191"/>
      <c r="V30" s="1192"/>
      <c r="W30" s="1191"/>
      <c r="X30" s="1193"/>
      <c r="Z30" s="425"/>
      <c r="AA30" s="425" t="str">
        <f t="shared" si="0"/>
        <v/>
      </c>
      <c r="AB30" s="425"/>
      <c r="AC30" s="425"/>
    </row>
    <row r="31" spans="1:29" ht="14.25" customHeight="1">
      <c r="A31" s="1188" t="s">
        <v>2120</v>
      </c>
      <c r="B31" s="1188" t="s">
        <v>2121</v>
      </c>
      <c r="C31" s="1188"/>
      <c r="D31" s="1188"/>
      <c r="E31" s="1188" t="s">
        <v>2111</v>
      </c>
      <c r="F31" s="1176"/>
      <c r="G31" s="1176"/>
      <c r="H31" s="434"/>
      <c r="I31" s="282"/>
      <c r="J31" s="303"/>
      <c r="K31" s="283"/>
      <c r="L31" s="1201"/>
      <c r="M31" s="1194"/>
      <c r="N31" s="1191"/>
      <c r="O31" s="1191"/>
      <c r="P31" s="1191"/>
      <c r="Q31" s="1191"/>
      <c r="R31" s="1191"/>
      <c r="S31" s="1191"/>
      <c r="T31" s="1191"/>
      <c r="U31" s="1191"/>
      <c r="V31" s="1192"/>
      <c r="W31" s="1191"/>
      <c r="X31" s="1193"/>
      <c r="Z31" s="425"/>
      <c r="AA31" s="425" t="str">
        <f t="shared" si="0"/>
        <v/>
      </c>
      <c r="AB31" s="425"/>
      <c r="AC31" s="425"/>
    </row>
    <row r="32" spans="1:29" ht="14.25" customHeight="1">
      <c r="A32" s="1188" t="s">
        <v>2124</v>
      </c>
      <c r="B32" s="1188"/>
      <c r="C32" s="1188"/>
      <c r="D32" s="1188"/>
      <c r="E32" s="1188" t="s">
        <v>86</v>
      </c>
      <c r="F32" s="1176"/>
      <c r="G32" s="1176"/>
      <c r="H32" s="434"/>
      <c r="I32" s="284"/>
      <c r="J32" s="303"/>
      <c r="K32" s="279"/>
      <c r="L32" s="1201"/>
      <c r="M32" s="1195"/>
      <c r="N32" s="1191"/>
      <c r="O32" s="1191"/>
      <c r="P32" s="1191"/>
      <c r="Q32" s="1191"/>
      <c r="R32" s="1191"/>
      <c r="S32" s="1191"/>
      <c r="T32" s="1191"/>
      <c r="U32" s="1191"/>
      <c r="V32" s="1192"/>
      <c r="W32" s="1191"/>
      <c r="X32" s="1193"/>
      <c r="Z32" s="425"/>
      <c r="AA32" s="425" t="str">
        <f t="shared" si="0"/>
        <v/>
      </c>
      <c r="AB32" s="425"/>
      <c r="AC32" s="425"/>
    </row>
    <row r="33" spans="1:29" s="1951" customFormat="1" ht="11.25" customHeight="1">
      <c r="A33" s="1188"/>
      <c r="B33" s="1188"/>
      <c r="C33" s="1188"/>
      <c r="D33" s="1188"/>
      <c r="E33" s="1188" t="s">
        <v>418</v>
      </c>
      <c r="F33" s="1189"/>
      <c r="G33" s="1177"/>
      <c r="H33" s="434"/>
      <c r="L33" s="1202"/>
      <c r="M33" s="1196"/>
      <c r="N33" s="1191"/>
      <c r="O33" s="1191"/>
      <c r="P33" s="1191"/>
      <c r="Q33" s="1191"/>
      <c r="R33" s="1191"/>
      <c r="S33" s="1191"/>
      <c r="T33" s="1191"/>
      <c r="U33" s="1191"/>
      <c r="V33" s="1192"/>
      <c r="W33" s="1191"/>
      <c r="X33" s="1193"/>
      <c r="Y33" s="310"/>
      <c r="Z33" s="310"/>
      <c r="AA33" s="310"/>
      <c r="AB33" s="310"/>
      <c r="AC33" s="310"/>
    </row>
    <row r="34" spans="1:29" ht="11.25" customHeight="1">
      <c r="F34" s="1057"/>
      <c r="G34" s="1057"/>
      <c r="H34" s="434"/>
      <c r="I34" s="1057"/>
      <c r="J34" s="1057"/>
      <c r="K34" s="1057"/>
      <c r="Y34" s="1057"/>
      <c r="Z34" s="1057"/>
      <c r="AA34" s="1057"/>
      <c r="AB34" s="1057"/>
      <c r="AC34" s="1057"/>
    </row>
    <row r="35" spans="1:29" ht="27" customHeight="1">
      <c r="H35" s="434"/>
      <c r="L35" s="1209" t="s">
        <v>680</v>
      </c>
      <c r="M35" s="2145" t="s">
        <v>2113</v>
      </c>
      <c r="N35" s="2145"/>
      <c r="O35" s="2145"/>
      <c r="P35" s="2145"/>
      <c r="Q35" s="2145"/>
      <c r="R35" s="2145"/>
      <c r="S35" s="2145"/>
      <c r="T35" s="2145"/>
      <c r="U35" s="2145"/>
      <c r="V35" s="2145"/>
      <c r="W35" s="2145"/>
      <c r="X35" s="2145"/>
    </row>
    <row r="36" spans="1:29" ht="104.25" customHeight="1">
      <c r="F36" s="1224"/>
      <c r="G36" s="1224"/>
      <c r="H36" s="434"/>
      <c r="I36" s="1224"/>
      <c r="M36" s="2145" t="s">
        <v>2114</v>
      </c>
      <c r="N36" s="2145"/>
      <c r="O36" s="2145"/>
      <c r="P36" s="2145"/>
      <c r="Q36" s="2145"/>
      <c r="R36" s="2145"/>
      <c r="S36" s="2145"/>
      <c r="T36" s="2145"/>
      <c r="U36" s="2145"/>
      <c r="V36" s="2145"/>
      <c r="W36" s="2145"/>
      <c r="X36" s="2145"/>
    </row>
    <row r="37" spans="1:29" ht="14.25" customHeight="1">
      <c r="H37" s="434"/>
    </row>
    <row r="38" spans="1:29" ht="14.25" customHeight="1">
      <c r="H38" s="434"/>
    </row>
    <row r="39" spans="1:29" ht="14.25" customHeight="1">
      <c r="H39" s="434"/>
    </row>
    <row r="40" spans="1:29" ht="14.25" customHeight="1">
      <c r="H40" s="434"/>
    </row>
  </sheetData>
  <sheetProtection formatColumns="0" formatRows="0" insertRows="0" deleteColumns="0" deleteRows="0" sort="0" autoFilter="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32"/>
  <sheetViews>
    <sheetView showGridLines="0" topLeftCell="A4" workbookViewId="0"/>
  </sheetViews>
  <sheetFormatPr defaultColWidth="10.5703125" defaultRowHeight="14.25" customHeight="1"/>
  <cols>
    <col min="1" max="6" width="10.5703125" style="1811"/>
    <col min="7" max="8" width="9.140625" style="1893" customWidth="1"/>
    <col min="9" max="9" width="3.7109375" style="1889" customWidth="1"/>
    <col min="10" max="11" width="3.7109375" style="1890" customWidth="1"/>
    <col min="12" max="12" width="12.7109375" style="1856" customWidth="1"/>
    <col min="13" max="13" width="47.42578125" style="1856" customWidth="1"/>
    <col min="14" max="14" width="2.7109375" style="1856" hidden="1" customWidth="1"/>
    <col min="15" max="18" width="23.7109375" style="1856" customWidth="1"/>
    <col min="19" max="19" width="11.7109375" style="1856" customWidth="1"/>
    <col min="20" max="20" width="3.7109375" style="1856" customWidth="1"/>
    <col min="21" max="21" width="11.7109375" style="1856" customWidth="1"/>
    <col min="22" max="22" width="8.5703125" style="1856" hidden="1" customWidth="1"/>
    <col min="23" max="23" width="4.7109375" style="1856" customWidth="1"/>
    <col min="24" max="24" width="115.7109375" style="1856" customWidth="1"/>
    <col min="25" max="29" width="10.5703125" style="1811"/>
  </cols>
  <sheetData>
    <row r="1" spans="1:29" ht="14.25" hidden="1" customHeight="1"/>
    <row r="2" spans="1:29" ht="14.25" hidden="1" customHeight="1"/>
    <row r="3" spans="1:29" ht="14.25" hidden="1" customHeight="1"/>
    <row r="4" spans="1:29" ht="14.25" customHeight="1">
      <c r="J4" s="304"/>
      <c r="K4" s="304"/>
      <c r="L4" s="289"/>
      <c r="M4" s="289"/>
      <c r="N4" s="289"/>
      <c r="O4" s="434"/>
      <c r="P4" s="434"/>
      <c r="Q4" s="434"/>
      <c r="R4" s="434"/>
      <c r="S4" s="434"/>
      <c r="T4" s="434"/>
      <c r="U4" s="434"/>
      <c r="V4" s="289"/>
    </row>
    <row r="5" spans="1:29" ht="14.25" customHeight="1">
      <c r="J5" s="304"/>
      <c r="K5" s="304"/>
      <c r="L5" s="2416" t="s">
        <v>2125</v>
      </c>
      <c r="M5" s="2416"/>
      <c r="N5" s="2416"/>
      <c r="O5" s="2416"/>
      <c r="P5" s="2416"/>
      <c r="Q5" s="2416"/>
      <c r="R5" s="2416"/>
      <c r="S5" s="2416"/>
      <c r="T5" s="2416"/>
      <c r="U5" s="194"/>
      <c r="V5" s="194"/>
    </row>
    <row r="6" spans="1:29" ht="14.25" customHeight="1">
      <c r="J6" s="304"/>
      <c r="K6" s="304"/>
      <c r="L6" s="289"/>
      <c r="M6" s="289"/>
      <c r="N6" s="289"/>
      <c r="O6" s="245"/>
      <c r="P6" s="245"/>
      <c r="Q6" s="245"/>
      <c r="R6" s="245"/>
      <c r="S6" s="245"/>
      <c r="T6" s="245"/>
      <c r="U6" s="289"/>
    </row>
    <row r="7" spans="1:29" s="1887" customFormat="1" ht="22.5" customHeight="1">
      <c r="A7" s="295"/>
      <c r="B7" s="295"/>
      <c r="C7" s="295"/>
      <c r="D7" s="295"/>
      <c r="E7" s="295"/>
      <c r="F7" s="295"/>
      <c r="G7" s="295"/>
      <c r="H7" s="295"/>
      <c r="L7" s="195"/>
      <c r="M7" s="212" t="s">
        <v>37</v>
      </c>
      <c r="N7" s="221"/>
      <c r="O7" s="2417" t="e">
        <f>IF(NameOrPr_ch="",IF(NameOrPr="","",NameOrPr),NameOrPr_ch)</f>
        <v>#NAME?</v>
      </c>
      <c r="P7" s="2418"/>
      <c r="Q7" s="2418"/>
      <c r="R7" s="2418"/>
      <c r="S7" s="2418"/>
      <c r="T7" s="2419"/>
      <c r="U7" s="1159"/>
      <c r="Y7" s="295"/>
      <c r="Z7" s="295"/>
      <c r="AA7" s="295"/>
      <c r="AB7" s="295"/>
      <c r="AC7" s="295"/>
    </row>
    <row r="8" spans="1:29" s="1887" customFormat="1" ht="18.75" customHeight="1">
      <c r="A8" s="295"/>
      <c r="B8" s="295"/>
      <c r="C8" s="295"/>
      <c r="D8" s="295"/>
      <c r="E8" s="295"/>
      <c r="F8" s="295"/>
      <c r="G8" s="295"/>
      <c r="H8" s="295"/>
      <c r="L8" s="195"/>
      <c r="M8" s="212" t="s">
        <v>393</v>
      </c>
      <c r="N8" s="221"/>
      <c r="O8" s="2417" t="e">
        <f>IF(datePr_ch="",IF(datePr="","",datePr),datePr_ch)</f>
        <v>#NAME?</v>
      </c>
      <c r="P8" s="2418"/>
      <c r="Q8" s="2418"/>
      <c r="R8" s="2418"/>
      <c r="S8" s="2418"/>
      <c r="T8" s="2419"/>
      <c r="U8" s="1159"/>
      <c r="Y8" s="295"/>
      <c r="Z8" s="295"/>
      <c r="AA8" s="295"/>
      <c r="AB8" s="295"/>
      <c r="AC8" s="295"/>
    </row>
    <row r="9" spans="1:29" s="1887" customFormat="1" ht="18.75" customHeight="1">
      <c r="A9" s="295"/>
      <c r="B9" s="295"/>
      <c r="C9" s="295"/>
      <c r="D9" s="295"/>
      <c r="E9" s="295"/>
      <c r="F9" s="295"/>
      <c r="G9" s="295"/>
      <c r="H9" s="295"/>
      <c r="L9" s="247"/>
      <c r="M9" s="212" t="s">
        <v>394</v>
      </c>
      <c r="N9" s="221"/>
      <c r="O9" s="2417" t="e">
        <f>IF(numberPr_ch="",IF(numberPr="","",numberPr),numberPr_ch)</f>
        <v>#NAME?</v>
      </c>
      <c r="P9" s="2418"/>
      <c r="Q9" s="2418"/>
      <c r="R9" s="2418"/>
      <c r="S9" s="2418"/>
      <c r="T9" s="2419"/>
      <c r="U9" s="1159"/>
      <c r="Y9" s="295"/>
      <c r="Z9" s="295"/>
      <c r="AA9" s="295"/>
      <c r="AB9" s="295"/>
      <c r="AC9" s="295"/>
    </row>
    <row r="10" spans="1:29" s="1887" customFormat="1" ht="18.75" customHeight="1">
      <c r="A10" s="295"/>
      <c r="B10" s="295"/>
      <c r="C10" s="295"/>
      <c r="D10" s="295"/>
      <c r="E10" s="295"/>
      <c r="F10" s="295"/>
      <c r="G10" s="295"/>
      <c r="H10" s="295"/>
      <c r="L10" s="247"/>
      <c r="M10" s="212" t="s">
        <v>38</v>
      </c>
      <c r="N10" s="221"/>
      <c r="O10" s="2417" t="e">
        <f>IF(IstPub_ch="",IF(IstPub="","",IstPub),IstPub_ch)</f>
        <v>#NAME?</v>
      </c>
      <c r="P10" s="2418"/>
      <c r="Q10" s="2418"/>
      <c r="R10" s="2418"/>
      <c r="S10" s="2418"/>
      <c r="T10" s="2419"/>
      <c r="U10" s="1159"/>
      <c r="Y10" s="295"/>
      <c r="Z10" s="295"/>
      <c r="AA10" s="295"/>
      <c r="AB10" s="295"/>
      <c r="AC10" s="295"/>
    </row>
    <row r="11" spans="1:29" s="1842" customFormat="1" ht="18.75" hidden="1" customHeight="1">
      <c r="A11" s="1163"/>
      <c r="B11" s="1163"/>
      <c r="C11" s="1163"/>
      <c r="D11" s="1163"/>
      <c r="E11" s="1163"/>
      <c r="F11" s="1163"/>
      <c r="G11" s="1163"/>
      <c r="H11" s="1163"/>
      <c r="L11" s="247"/>
      <c r="M11" s="244"/>
      <c r="O11" s="1164"/>
      <c r="P11" s="1164"/>
      <c r="Q11" s="295" t="s">
        <v>2126</v>
      </c>
      <c r="R11" s="295" t="s">
        <v>2127</v>
      </c>
      <c r="S11" s="1164"/>
      <c r="T11" s="1164"/>
      <c r="U11" s="1159"/>
      <c r="Y11" s="1163"/>
      <c r="Z11" s="1163"/>
      <c r="AA11" s="1163"/>
      <c r="AB11" s="1163"/>
      <c r="AC11" s="1163"/>
    </row>
    <row r="12" spans="1:29" s="1887" customFormat="1" ht="11.25" hidden="1" customHeight="1">
      <c r="A12" s="295"/>
      <c r="B12" s="295"/>
      <c r="C12" s="295"/>
      <c r="D12" s="295"/>
      <c r="E12" s="295"/>
      <c r="F12" s="295"/>
      <c r="G12" s="295"/>
      <c r="H12" s="295"/>
      <c r="L12" s="2410"/>
      <c r="M12" s="2410"/>
      <c r="N12" s="1126"/>
      <c r="O12" s="251"/>
      <c r="P12" s="251"/>
      <c r="Q12" s="251"/>
      <c r="R12" s="251"/>
      <c r="S12" s="251"/>
      <c r="T12" s="251"/>
      <c r="U12" s="1162"/>
      <c r="V12" s="196" t="s">
        <v>397</v>
      </c>
      <c r="Y12" s="295"/>
      <c r="Z12" s="295"/>
      <c r="AA12" s="295"/>
      <c r="AB12" s="295"/>
      <c r="AC12" s="295"/>
    </row>
    <row r="13" spans="1:29" ht="14.25" customHeight="1">
      <c r="J13" s="304"/>
      <c r="K13" s="304"/>
      <c r="L13" s="289"/>
      <c r="M13" s="289"/>
      <c r="N13" s="289"/>
      <c r="O13" s="1165"/>
      <c r="P13" s="1165"/>
      <c r="Q13" s="2414"/>
      <c r="R13" s="2414"/>
      <c r="S13" s="2414"/>
      <c r="T13" s="2414"/>
      <c r="U13" s="2414"/>
      <c r="V13" s="2414"/>
    </row>
    <row r="14" spans="1:29" ht="14.25" customHeight="1">
      <c r="J14" s="304"/>
      <c r="K14" s="304"/>
      <c r="L14" s="2019" t="s">
        <v>268</v>
      </c>
      <c r="M14" s="2019"/>
      <c r="N14" s="2019"/>
      <c r="O14" s="2019"/>
      <c r="P14" s="2019"/>
      <c r="Q14" s="2019"/>
      <c r="R14" s="2019"/>
      <c r="S14" s="2019"/>
      <c r="T14" s="2019"/>
      <c r="U14" s="2019"/>
      <c r="V14" s="2019"/>
      <c r="W14" s="2019"/>
      <c r="X14" s="2019" t="s">
        <v>269</v>
      </c>
    </row>
    <row r="15" spans="1:29" ht="14.25" customHeight="1">
      <c r="J15" s="304"/>
      <c r="K15" s="304"/>
      <c r="L15" s="2107" t="s">
        <v>73</v>
      </c>
      <c r="M15" s="2107" t="s">
        <v>2128</v>
      </c>
      <c r="N15" s="1125"/>
      <c r="O15" s="2107" t="s">
        <v>2129</v>
      </c>
      <c r="P15" s="2106" t="s">
        <v>2130</v>
      </c>
      <c r="Q15" s="2106" t="s">
        <v>2110</v>
      </c>
      <c r="R15" s="2106"/>
      <c r="S15" s="2106"/>
      <c r="T15" s="2106"/>
      <c r="U15" s="2106"/>
      <c r="V15" s="2107" t="s">
        <v>400</v>
      </c>
      <c r="W15" s="2415" t="s">
        <v>1023</v>
      </c>
      <c r="X15" s="2019"/>
    </row>
    <row r="16" spans="1:29" ht="25.5" customHeight="1">
      <c r="J16" s="304"/>
      <c r="K16" s="304"/>
      <c r="L16" s="2107"/>
      <c r="M16" s="2107"/>
      <c r="N16" s="1125"/>
      <c r="O16" s="2107"/>
      <c r="P16" s="2106"/>
      <c r="Q16" s="2106" t="s">
        <v>2131</v>
      </c>
      <c r="R16" s="2106"/>
      <c r="S16" s="2019" t="s">
        <v>419</v>
      </c>
      <c r="T16" s="2019"/>
      <c r="U16" s="2019"/>
      <c r="V16" s="2107"/>
      <c r="W16" s="2415"/>
      <c r="X16" s="2019"/>
    </row>
    <row r="17" spans="1:29" ht="14.25" customHeight="1">
      <c r="J17" s="304"/>
      <c r="K17" s="304"/>
      <c r="L17" s="2107"/>
      <c r="M17" s="2107"/>
      <c r="N17" s="1125"/>
      <c r="O17" s="2107"/>
      <c r="P17" s="2106"/>
      <c r="Q17" s="1125" t="s">
        <v>448</v>
      </c>
      <c r="R17" s="1125" t="s">
        <v>449</v>
      </c>
      <c r="S17" s="1129" t="s">
        <v>416</v>
      </c>
      <c r="T17" s="2074" t="s">
        <v>417</v>
      </c>
      <c r="U17" s="2074"/>
      <c r="V17" s="2107"/>
      <c r="W17" s="2415"/>
      <c r="X17" s="2019"/>
    </row>
    <row r="18" spans="1:29" ht="14.25" customHeight="1">
      <c r="J18" s="304"/>
      <c r="K18" s="208">
        <v>1</v>
      </c>
      <c r="L18" s="379" t="s">
        <v>91</v>
      </c>
      <c r="M18" s="379" t="s">
        <v>92</v>
      </c>
      <c r="N18" s="1161" t="s">
        <v>92</v>
      </c>
      <c r="O18" s="1127">
        <f t="shared" ref="O18:T18" ca="1" si="0">OFFSET(O18,0,-1)+1</f>
        <v>3</v>
      </c>
      <c r="P18" s="1127">
        <f t="shared" ca="1" si="0"/>
        <v>4</v>
      </c>
      <c r="Q18" s="1127">
        <f t="shared" ca="1" si="0"/>
        <v>5</v>
      </c>
      <c r="R18" s="1127">
        <f t="shared" ca="1" si="0"/>
        <v>6</v>
      </c>
      <c r="S18" s="1127">
        <f t="shared" ca="1" si="0"/>
        <v>7</v>
      </c>
      <c r="T18" s="2413">
        <f t="shared" ca="1" si="0"/>
        <v>8</v>
      </c>
      <c r="U18" s="2413"/>
      <c r="V18" s="1127">
        <f ca="1">OFFSET(V18,0,-2)+1</f>
        <v>9</v>
      </c>
      <c r="X18" s="1127">
        <f ca="1">OFFSET(X18,0,-2)+1</f>
        <v>10</v>
      </c>
    </row>
    <row r="19" spans="1:29" ht="22.5" customHeight="1">
      <c r="A19" s="2150">
        <v>1</v>
      </c>
      <c r="B19" s="443"/>
      <c r="C19" s="443"/>
      <c r="D19" s="443"/>
      <c r="E19" s="443"/>
      <c r="F19" s="443"/>
      <c r="G19" s="311"/>
      <c r="H19" s="311"/>
      <c r="I19" s="285"/>
      <c r="J19" s="304"/>
      <c r="K19" s="304"/>
      <c r="L19" s="1134" t="e">
        <f ca="1">MERGEVALUE(A19)</f>
        <v>#NAME?</v>
      </c>
      <c r="M19" s="215" t="s">
        <v>105</v>
      </c>
      <c r="N19" s="234"/>
      <c r="O19" s="2317"/>
      <c r="P19" s="2317"/>
      <c r="Q19" s="2317"/>
      <c r="R19" s="2317"/>
      <c r="S19" s="2317"/>
      <c r="T19" s="2317"/>
      <c r="U19" s="2317"/>
      <c r="V19" s="2317"/>
      <c r="W19" s="2317"/>
      <c r="X19" s="269" t="s">
        <v>366</v>
      </c>
    </row>
    <row r="20" spans="1:29" ht="22.5" customHeight="1">
      <c r="A20" s="2150"/>
      <c r="B20" s="2150">
        <v>1</v>
      </c>
      <c r="C20" s="443"/>
      <c r="D20" s="443"/>
      <c r="E20" s="443"/>
      <c r="F20" s="443"/>
      <c r="G20" s="313"/>
      <c r="H20" s="1128"/>
      <c r="I20" s="287"/>
      <c r="J20" s="1135"/>
      <c r="K20" s="1057"/>
      <c r="L20" s="1134" t="e">
        <f ca="1">MERGEVALUE(A20)&amp;"."&amp;MERGEVALUE(B20)</f>
        <v>#NAME?</v>
      </c>
      <c r="M20" s="227" t="s">
        <v>367</v>
      </c>
      <c r="N20" s="234"/>
      <c r="O20" s="2317"/>
      <c r="P20" s="2317"/>
      <c r="Q20" s="2317"/>
      <c r="R20" s="2317"/>
      <c r="S20" s="2317"/>
      <c r="T20" s="2317"/>
      <c r="U20" s="2317"/>
      <c r="V20" s="2317"/>
      <c r="W20" s="2317"/>
      <c r="X20" s="269" t="s">
        <v>368</v>
      </c>
    </row>
    <row r="21" spans="1:29" ht="22.5" customHeight="1">
      <c r="A21" s="2150"/>
      <c r="B21" s="2150"/>
      <c r="C21" s="2150">
        <v>1</v>
      </c>
      <c r="D21" s="443"/>
      <c r="E21" s="443"/>
      <c r="F21" s="443"/>
      <c r="G21" s="313"/>
      <c r="H21" s="1128"/>
      <c r="I21" s="288"/>
      <c r="J21" s="1135"/>
      <c r="K21" s="1057"/>
      <c r="L21" s="1134" t="e">
        <f ca="1">MERGEVALUE(A21)&amp;"."&amp;MERGEVALUE(B21)&amp;"."&amp;MERGEVALUE(C21)</f>
        <v>#NAME?</v>
      </c>
      <c r="M21" s="228" t="s">
        <v>369</v>
      </c>
      <c r="N21" s="234"/>
      <c r="O21" s="2317"/>
      <c r="P21" s="2317"/>
      <c r="Q21" s="2317"/>
      <c r="R21" s="2317"/>
      <c r="S21" s="2317"/>
      <c r="T21" s="2317"/>
      <c r="U21" s="2317"/>
      <c r="V21" s="2317"/>
      <c r="W21" s="2317"/>
      <c r="X21" s="269" t="s">
        <v>370</v>
      </c>
    </row>
    <row r="22" spans="1:29" ht="14.25" customHeight="1">
      <c r="A22" s="2150"/>
      <c r="B22" s="2150"/>
      <c r="C22" s="2150"/>
      <c r="D22" s="2150">
        <v>1</v>
      </c>
      <c r="E22" s="443"/>
      <c r="F22" s="443"/>
      <c r="G22" s="313"/>
      <c r="H22" s="1128"/>
      <c r="I22" s="288"/>
      <c r="J22" s="286"/>
      <c r="K22" s="1057"/>
      <c r="L22" s="1134" t="e">
        <f ca="1">MERGEVALUE(A22)&amp;"."&amp;MERGEVALUE(B22)&amp;"."&amp;MERGEVALUE(C22)&amp;"."&amp;MERGEVALUE(D22)</f>
        <v>#NAME?</v>
      </c>
      <c r="M22" s="229" t="s">
        <v>371</v>
      </c>
      <c r="N22" s="234"/>
      <c r="O22" s="2317"/>
      <c r="P22" s="2317"/>
      <c r="Q22" s="2317"/>
      <c r="R22" s="2317"/>
      <c r="S22" s="2317"/>
      <c r="T22" s="2317"/>
      <c r="U22" s="2317"/>
      <c r="V22" s="2317"/>
      <c r="W22" s="2317"/>
      <c r="X22" s="262" t="s">
        <v>2132</v>
      </c>
    </row>
    <row r="23" spans="1:29" ht="22.5" customHeight="1">
      <c r="A23" s="2150"/>
      <c r="B23" s="2150"/>
      <c r="C23" s="2150"/>
      <c r="D23" s="2150"/>
      <c r="E23" s="443">
        <v>1</v>
      </c>
      <c r="F23" s="443"/>
      <c r="G23" s="313"/>
      <c r="H23" s="1128"/>
      <c r="I23" s="288"/>
      <c r="J23" s="286"/>
      <c r="K23" s="381"/>
      <c r="L23" s="1134" t="e">
        <f ca="1">MERGEVALUE(A23)&amp;"."&amp;MERGEVALUE(B23)&amp;"."&amp;MERGEVALUE(C23)&amp;"."&amp;MERGEVALUE(D23)&amp;"."&amp;MERGEVALUE(E23)</f>
        <v>#NAME?</v>
      </c>
      <c r="M23" s="306"/>
      <c r="N23" s="1131"/>
      <c r="O23" s="308"/>
      <c r="P23" s="309"/>
      <c r="Q23" s="222"/>
      <c r="R23" s="222"/>
      <c r="S23" s="1646"/>
      <c r="T23" s="1124" t="s">
        <v>48</v>
      </c>
      <c r="U23" s="1167"/>
      <c r="V23" s="1124" t="s">
        <v>48</v>
      </c>
      <c r="W23" s="1168"/>
      <c r="X23" s="2063" t="s">
        <v>2133</v>
      </c>
      <c r="Y23" s="436" t="e">
        <f ca="1">STRCHECKDATETWO(N23:W23)</f>
        <v>#NAME?</v>
      </c>
    </row>
    <row r="24" spans="1:29" ht="14.25" hidden="1" customHeight="1">
      <c r="A24" s="2150"/>
      <c r="B24" s="2150"/>
      <c r="C24" s="2150"/>
      <c r="D24" s="2150"/>
      <c r="E24" s="443"/>
      <c r="F24" s="443"/>
      <c r="G24" s="313"/>
      <c r="H24" s="1128"/>
      <c r="I24" s="288"/>
      <c r="J24" s="286"/>
      <c r="K24" s="381"/>
      <c r="L24" s="1133"/>
      <c r="M24" s="230"/>
      <c r="N24" s="217"/>
      <c r="O24" s="217"/>
      <c r="P24" s="217"/>
      <c r="Q24" s="217"/>
      <c r="R24" s="253" t="str">
        <f>S23&amp;"-"&amp;U23</f>
        <v>-</v>
      </c>
      <c r="S24" s="238"/>
      <c r="T24" s="235"/>
      <c r="U24" s="238"/>
      <c r="V24" s="217"/>
      <c r="W24" s="1169"/>
      <c r="X24" s="2064"/>
    </row>
    <row r="25" spans="1:29" ht="14.25" customHeight="1">
      <c r="A25" s="2150"/>
      <c r="B25" s="2150"/>
      <c r="C25" s="2150"/>
      <c r="D25" s="2150"/>
      <c r="E25" s="443"/>
      <c r="F25" s="443"/>
      <c r="G25" s="313"/>
      <c r="H25" s="1128"/>
      <c r="I25" s="288"/>
      <c r="J25" s="286"/>
      <c r="K25" s="381"/>
      <c r="L25" s="226"/>
      <c r="M25" s="291" t="s">
        <v>437</v>
      </c>
      <c r="N25" s="290"/>
      <c r="O25" s="246"/>
      <c r="P25" s="246"/>
      <c r="Q25" s="246"/>
      <c r="R25" s="246"/>
      <c r="S25" s="250"/>
      <c r="T25" s="294"/>
      <c r="U25" s="293"/>
      <c r="V25" s="290"/>
      <c r="W25" s="290"/>
      <c r="X25" s="2065"/>
    </row>
    <row r="26" spans="1:29" s="1951" customFormat="1" ht="14.25" customHeight="1">
      <c r="A26" s="2150"/>
      <c r="B26" s="2150"/>
      <c r="C26" s="2150"/>
      <c r="D26" s="312"/>
      <c r="E26" s="312"/>
      <c r="F26" s="312"/>
      <c r="G26" s="313"/>
      <c r="H26" s="312"/>
      <c r="I26" s="288"/>
      <c r="J26" s="303"/>
      <c r="K26" s="305"/>
      <c r="L26" s="226"/>
      <c r="M26" s="299" t="s">
        <v>548</v>
      </c>
      <c r="N26" s="290"/>
      <c r="O26" s="246"/>
      <c r="P26" s="246"/>
      <c r="Q26" s="246"/>
      <c r="R26" s="246"/>
      <c r="S26" s="250"/>
      <c r="T26" s="294"/>
      <c r="U26" s="293"/>
      <c r="V26" s="290"/>
      <c r="W26" s="294"/>
      <c r="X26" s="1170"/>
      <c r="Y26" s="310"/>
      <c r="Z26" s="310"/>
      <c r="AA26" s="310"/>
      <c r="AB26" s="310"/>
      <c r="AC26" s="310"/>
    </row>
    <row r="27" spans="1:29" s="1951" customFormat="1" ht="14.25" customHeight="1">
      <c r="A27" s="2150"/>
      <c r="B27" s="2150"/>
      <c r="C27" s="312"/>
      <c r="D27" s="312"/>
      <c r="E27" s="312"/>
      <c r="F27" s="312"/>
      <c r="G27" s="313"/>
      <c r="H27" s="312"/>
      <c r="I27" s="284"/>
      <c r="J27" s="303"/>
      <c r="K27" s="305"/>
      <c r="L27" s="226"/>
      <c r="M27" s="290" t="s">
        <v>2111</v>
      </c>
      <c r="N27" s="290"/>
      <c r="O27" s="246"/>
      <c r="P27" s="246"/>
      <c r="Q27" s="246"/>
      <c r="R27" s="246"/>
      <c r="S27" s="250"/>
      <c r="T27" s="294"/>
      <c r="U27" s="293"/>
      <c r="V27" s="290"/>
      <c r="W27" s="294"/>
      <c r="X27" s="248"/>
      <c r="Y27" s="310"/>
      <c r="Z27" s="310"/>
      <c r="AA27" s="310"/>
      <c r="AB27" s="310"/>
      <c r="AC27" s="310"/>
    </row>
    <row r="28" spans="1:29" s="1951" customFormat="1" ht="14.25" customHeight="1">
      <c r="A28" s="2150"/>
      <c r="B28" s="312"/>
      <c r="C28" s="312"/>
      <c r="D28" s="312"/>
      <c r="E28" s="312"/>
      <c r="F28" s="312"/>
      <c r="G28" s="313"/>
      <c r="H28" s="312"/>
      <c r="I28" s="284"/>
      <c r="J28" s="303"/>
      <c r="K28" s="305"/>
      <c r="L28" s="226"/>
      <c r="M28" s="348" t="s">
        <v>86</v>
      </c>
      <c r="N28" s="290"/>
      <c r="O28" s="246"/>
      <c r="P28" s="246"/>
      <c r="Q28" s="246"/>
      <c r="R28" s="246"/>
      <c r="S28" s="250"/>
      <c r="T28" s="294"/>
      <c r="U28" s="293"/>
      <c r="V28" s="290"/>
      <c r="W28" s="294"/>
      <c r="X28" s="248"/>
      <c r="Y28" s="310"/>
      <c r="Z28" s="310"/>
      <c r="AA28" s="310"/>
      <c r="AB28" s="310"/>
      <c r="AC28" s="310"/>
    </row>
    <row r="29" spans="1:29" s="1951" customFormat="1" ht="14.25" customHeight="1">
      <c r="G29" s="292"/>
      <c r="H29" s="305"/>
      <c r="I29" s="302"/>
      <c r="J29" s="303"/>
      <c r="L29" s="226"/>
      <c r="M29" s="349" t="s">
        <v>418</v>
      </c>
      <c r="N29" s="290"/>
      <c r="O29" s="246"/>
      <c r="P29" s="246"/>
      <c r="Q29" s="246"/>
      <c r="R29" s="246"/>
      <c r="S29" s="250"/>
      <c r="T29" s="294"/>
      <c r="U29" s="293"/>
      <c r="V29" s="290"/>
      <c r="W29" s="294"/>
      <c r="X29" s="248"/>
      <c r="Y29" s="310"/>
      <c r="Z29" s="310"/>
      <c r="AA29" s="310"/>
      <c r="AB29" s="310"/>
      <c r="AC29" s="310"/>
    </row>
    <row r="31" spans="1:29" ht="14.25" customHeight="1">
      <c r="L31" s="2">
        <v>1</v>
      </c>
      <c r="M31" s="2145" t="s">
        <v>2134</v>
      </c>
      <c r="N31" s="2145"/>
      <c r="O31" s="2145"/>
      <c r="P31" s="2145"/>
      <c r="Q31" s="2145"/>
      <c r="R31" s="2145"/>
      <c r="S31" s="2145"/>
      <c r="T31" s="2145"/>
      <c r="U31" s="2145"/>
      <c r="V31" s="2145"/>
      <c r="W31" s="2145"/>
      <c r="X31" s="2145"/>
      <c r="Y31" s="1171"/>
      <c r="Z31" s="296"/>
      <c r="AA31" s="296"/>
      <c r="AB31" s="296"/>
      <c r="AC31" s="296"/>
    </row>
    <row r="32" spans="1:29" ht="14.25" customHeight="1">
      <c r="M32" s="1172"/>
      <c r="N32" s="1172"/>
      <c r="O32" s="1172"/>
      <c r="P32" s="1172"/>
      <c r="Q32" s="1172"/>
      <c r="R32" s="1172"/>
      <c r="S32" s="1172"/>
      <c r="T32" s="1172"/>
      <c r="U32" s="1172"/>
      <c r="V32" s="1172"/>
      <c r="W32" s="1172"/>
      <c r="X32" s="1172"/>
      <c r="Y32" s="435"/>
      <c r="Z32" s="435"/>
      <c r="AA32" s="435"/>
      <c r="AB32" s="435"/>
      <c r="AC32" s="435"/>
    </row>
  </sheetData>
  <sheetProtection formatColumns="0" formatRows="0" insertRows="0" deleteColumns="0" deleteRows="0" sort="0" autoFilter="0"/>
  <mergeCells count="30">
    <mergeCell ref="L12:M12"/>
    <mergeCell ref="L5:T5"/>
    <mergeCell ref="O7:T7"/>
    <mergeCell ref="O8:T8"/>
    <mergeCell ref="O9:T9"/>
    <mergeCell ref="O10:T10"/>
    <mergeCell ref="Q13:V13"/>
    <mergeCell ref="L14:W14"/>
    <mergeCell ref="X14:X17"/>
    <mergeCell ref="L15:L17"/>
    <mergeCell ref="M15:M17"/>
    <mergeCell ref="O15:O17"/>
    <mergeCell ref="P15:P17"/>
    <mergeCell ref="Q15:U15"/>
    <mergeCell ref="V15:V17"/>
    <mergeCell ref="W15:W17"/>
    <mergeCell ref="A19:A28"/>
    <mergeCell ref="O19:W19"/>
    <mergeCell ref="B20:B27"/>
    <mergeCell ref="O20:W20"/>
    <mergeCell ref="C21:C26"/>
    <mergeCell ref="O21:W21"/>
    <mergeCell ref="D22:D25"/>
    <mergeCell ref="O22:W22"/>
    <mergeCell ref="X23:X25"/>
    <mergeCell ref="M31:X31"/>
    <mergeCell ref="Q16:R16"/>
    <mergeCell ref="S16:U16"/>
    <mergeCell ref="T17:U17"/>
    <mergeCell ref="T18:U18"/>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3"/>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customWidth="1"/>
    <col min="2" max="2" width="8.7109375" customWidth="1"/>
    <col min="3" max="3" width="18.140625" customWidth="1"/>
    <col min="4" max="4" width="12.5703125" customWidth="1"/>
  </cols>
  <sheetData>
    <row r="1" spans="1:5" ht="11.25" customHeight="1">
      <c r="A1" s="671" t="s">
        <v>2135</v>
      </c>
      <c r="B1" s="682" t="s">
        <v>2136</v>
      </c>
      <c r="C1" s="2420" t="s">
        <v>2137</v>
      </c>
      <c r="D1" s="2421"/>
      <c r="E1" s="754" t="s">
        <v>2138</v>
      </c>
    </row>
    <row r="2" spans="1:5" ht="11.25" customHeight="1">
      <c r="A2" s="675"/>
      <c r="B2" s="683" t="s">
        <v>23</v>
      </c>
      <c r="C2" s="671"/>
      <c r="D2" s="682"/>
      <c r="E2" s="754"/>
    </row>
    <row r="3" spans="1:5" ht="11.25" customHeight="1">
      <c r="A3" s="686"/>
      <c r="B3" s="684" t="s">
        <v>29</v>
      </c>
      <c r="C3" s="671"/>
      <c r="D3" s="682"/>
      <c r="E3" s="754"/>
    </row>
    <row r="4" spans="1:5" ht="11.25" customHeight="1">
      <c r="A4" s="687"/>
      <c r="B4" s="684" t="s">
        <v>1630</v>
      </c>
      <c r="C4" s="671"/>
      <c r="D4" s="682"/>
      <c r="E4" s="754"/>
    </row>
    <row r="5" spans="1:5" ht="11.25" customHeight="1">
      <c r="A5" s="699"/>
      <c r="B5" s="684" t="s">
        <v>1624</v>
      </c>
      <c r="C5" s="674" t="s">
        <v>1874</v>
      </c>
      <c r="D5" s="794" t="s">
        <v>2139</v>
      </c>
      <c r="E5" s="754"/>
    </row>
    <row r="6" spans="1:5" s="1951" customFormat="1" ht="11.25" customHeight="1">
      <c r="A6" s="685"/>
      <c r="B6" s="684" t="s">
        <v>1634</v>
      </c>
      <c r="C6" s="671"/>
      <c r="D6" s="682"/>
      <c r="E6" s="754"/>
    </row>
    <row r="7" spans="1:5" ht="11.25" customHeight="1">
      <c r="A7" s="673"/>
      <c r="B7" s="684" t="s">
        <v>1642</v>
      </c>
      <c r="C7" s="671"/>
      <c r="D7" s="682"/>
      <c r="E7" s="754"/>
    </row>
    <row r="8" spans="1:5" ht="11.25" customHeight="1">
      <c r="A8" s="674"/>
      <c r="B8" s="684" t="s">
        <v>1637</v>
      </c>
      <c r="C8" s="671"/>
      <c r="D8" s="682"/>
      <c r="E8" s="754"/>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425"/>
  <sheetViews>
    <sheetView showGridLines="0" workbookViewId="0"/>
  </sheetViews>
  <sheetFormatPr defaultColWidth="9.140625" defaultRowHeight="11.25" customHeight="1"/>
  <cols>
    <col min="1" max="2" width="9.140625" style="1975"/>
    <col min="3" max="3" width="20.7109375" style="1975" customWidth="1"/>
    <col min="4" max="4" width="25.140625" style="1975" customWidth="1"/>
    <col min="5" max="9" width="9.140625" style="1975"/>
  </cols>
  <sheetData>
    <row r="1" spans="1:9" ht="11.25" customHeight="1">
      <c r="A1" s="5" t="s">
        <v>2140</v>
      </c>
      <c r="B1" s="5" t="s">
        <v>2141</v>
      </c>
      <c r="C1" s="5" t="s">
        <v>2142</v>
      </c>
      <c r="D1" s="5" t="s">
        <v>2143</v>
      </c>
      <c r="E1" s="5" t="s">
        <v>2144</v>
      </c>
      <c r="F1" s="5" t="s">
        <v>2145</v>
      </c>
      <c r="G1" s="5" t="s">
        <v>2146</v>
      </c>
      <c r="H1" s="5" t="s">
        <v>2147</v>
      </c>
      <c r="I1" s="5" t="s">
        <v>2148</v>
      </c>
    </row>
    <row r="2" spans="1:9" ht="11.25" customHeight="1">
      <c r="A2" s="1976" t="s">
        <v>2149</v>
      </c>
      <c r="B2" s="1976" t="s">
        <v>14</v>
      </c>
      <c r="C2" s="1976" t="s">
        <v>2150</v>
      </c>
      <c r="D2" s="1976" t="s">
        <v>2151</v>
      </c>
      <c r="E2" s="1976" t="s">
        <v>2152</v>
      </c>
      <c r="F2" s="1976" t="s">
        <v>2153</v>
      </c>
      <c r="G2" s="1976" t="s">
        <v>2154</v>
      </c>
      <c r="H2" s="1976" t="s">
        <v>18</v>
      </c>
      <c r="I2" s="1976" t="s">
        <v>684</v>
      </c>
    </row>
    <row r="3" spans="1:9" ht="11.25" customHeight="1">
      <c r="A3" s="1976" t="s">
        <v>2149</v>
      </c>
      <c r="B3" s="1976" t="s">
        <v>14</v>
      </c>
      <c r="C3" s="1976" t="s">
        <v>2155</v>
      </c>
      <c r="D3" s="1976" t="s">
        <v>2151</v>
      </c>
      <c r="E3" s="1976" t="s">
        <v>2152</v>
      </c>
      <c r="F3" s="1976" t="s">
        <v>2156</v>
      </c>
      <c r="G3" s="1976" t="s">
        <v>18</v>
      </c>
      <c r="H3" s="1976" t="s">
        <v>18</v>
      </c>
      <c r="I3" s="1976" t="s">
        <v>684</v>
      </c>
    </row>
    <row r="4" spans="1:9" ht="11.25" customHeight="1">
      <c r="A4" s="1976" t="s">
        <v>2149</v>
      </c>
      <c r="B4" s="1976" t="s">
        <v>14</v>
      </c>
      <c r="C4" s="1976" t="s">
        <v>2157</v>
      </c>
      <c r="D4" s="1976" t="s">
        <v>2158</v>
      </c>
      <c r="E4" s="1976" t="s">
        <v>2159</v>
      </c>
      <c r="F4" s="1976" t="s">
        <v>2160</v>
      </c>
      <c r="G4" s="1976" t="s">
        <v>18</v>
      </c>
      <c r="H4" s="1976" t="s">
        <v>18</v>
      </c>
      <c r="I4" s="1976" t="s">
        <v>684</v>
      </c>
    </row>
    <row r="5" spans="1:9" ht="11.25" customHeight="1">
      <c r="A5" s="1976" t="s">
        <v>2149</v>
      </c>
      <c r="B5" s="1976" t="s">
        <v>14</v>
      </c>
      <c r="C5" s="1976" t="s">
        <v>2161</v>
      </c>
      <c r="D5" s="1976" t="s">
        <v>2162</v>
      </c>
      <c r="E5" s="1976" t="s">
        <v>2163</v>
      </c>
      <c r="F5" s="1976" t="s">
        <v>2160</v>
      </c>
      <c r="G5" s="1976" t="s">
        <v>18</v>
      </c>
      <c r="H5" s="1976" t="s">
        <v>18</v>
      </c>
      <c r="I5" s="1976" t="s">
        <v>684</v>
      </c>
    </row>
    <row r="6" spans="1:9" ht="11.25" customHeight="1">
      <c r="A6" s="1976" t="s">
        <v>2149</v>
      </c>
      <c r="B6" s="1976" t="s">
        <v>14</v>
      </c>
      <c r="C6" s="1976" t="s">
        <v>2164</v>
      </c>
      <c r="D6" s="1976" t="s">
        <v>2165</v>
      </c>
      <c r="E6" s="1976" t="s">
        <v>2166</v>
      </c>
      <c r="F6" s="1976" t="s">
        <v>2167</v>
      </c>
      <c r="G6" s="1976" t="s">
        <v>18</v>
      </c>
      <c r="H6" s="1976" t="s">
        <v>18</v>
      </c>
      <c r="I6" s="1976" t="s">
        <v>684</v>
      </c>
    </row>
    <row r="7" spans="1:9" ht="11.25" customHeight="1">
      <c r="A7" s="1976" t="s">
        <v>2149</v>
      </c>
      <c r="B7" s="1976" t="s">
        <v>14</v>
      </c>
      <c r="C7" s="1976" t="s">
        <v>2168</v>
      </c>
      <c r="D7" s="1976" t="s">
        <v>2169</v>
      </c>
      <c r="E7" s="1976" t="s">
        <v>2170</v>
      </c>
      <c r="F7" s="1976" t="s">
        <v>2171</v>
      </c>
      <c r="G7" s="1976" t="s">
        <v>18</v>
      </c>
      <c r="H7" s="1976" t="s">
        <v>18</v>
      </c>
      <c r="I7" s="1976" t="s">
        <v>684</v>
      </c>
    </row>
    <row r="8" spans="1:9" ht="11.25" customHeight="1">
      <c r="A8" s="1976" t="s">
        <v>2149</v>
      </c>
      <c r="B8" s="1976" t="s">
        <v>14</v>
      </c>
      <c r="C8" s="1976" t="s">
        <v>2172</v>
      </c>
      <c r="D8" s="1976" t="s">
        <v>2173</v>
      </c>
      <c r="E8" s="1976" t="s">
        <v>2174</v>
      </c>
      <c r="F8" s="1976" t="s">
        <v>2175</v>
      </c>
      <c r="G8" s="1976" t="s">
        <v>18</v>
      </c>
      <c r="H8" s="1976" t="s">
        <v>18</v>
      </c>
      <c r="I8" s="1976" t="s">
        <v>684</v>
      </c>
    </row>
    <row r="9" spans="1:9" ht="11.25" customHeight="1">
      <c r="A9" s="1976" t="s">
        <v>2149</v>
      </c>
      <c r="B9" s="1976" t="s">
        <v>14</v>
      </c>
      <c r="C9" s="1976" t="s">
        <v>2176</v>
      </c>
      <c r="D9" s="1976" t="s">
        <v>2177</v>
      </c>
      <c r="E9" s="1976" t="s">
        <v>2178</v>
      </c>
      <c r="F9" s="1976" t="s">
        <v>2179</v>
      </c>
      <c r="G9" s="1976" t="s">
        <v>18</v>
      </c>
      <c r="H9" s="1976" t="s">
        <v>18</v>
      </c>
      <c r="I9" s="1976" t="s">
        <v>684</v>
      </c>
    </row>
    <row r="10" spans="1:9" ht="11.25" customHeight="1">
      <c r="A10" s="1976" t="s">
        <v>2149</v>
      </c>
      <c r="B10" s="1976" t="s">
        <v>14</v>
      </c>
      <c r="C10" s="1976" t="s">
        <v>2180</v>
      </c>
      <c r="D10" s="1976" t="s">
        <v>2181</v>
      </c>
      <c r="E10" s="1976" t="s">
        <v>2166</v>
      </c>
      <c r="F10" s="1976" t="s">
        <v>2182</v>
      </c>
      <c r="G10" s="1976" t="s">
        <v>18</v>
      </c>
      <c r="H10" s="1976" t="s">
        <v>18</v>
      </c>
      <c r="I10" s="1976" t="s">
        <v>684</v>
      </c>
    </row>
    <row r="11" spans="1:9" ht="11.25" customHeight="1">
      <c r="A11" s="1976" t="s">
        <v>2149</v>
      </c>
      <c r="B11" s="1976" t="s">
        <v>14</v>
      </c>
      <c r="C11" s="1976" t="s">
        <v>2183</v>
      </c>
      <c r="D11" s="1976" t="s">
        <v>2184</v>
      </c>
      <c r="E11" s="1976" t="s">
        <v>2185</v>
      </c>
      <c r="F11" s="1976" t="s">
        <v>2186</v>
      </c>
      <c r="G11" s="1976" t="s">
        <v>18</v>
      </c>
      <c r="H11" s="1976" t="s">
        <v>18</v>
      </c>
      <c r="I11" s="1976" t="s">
        <v>684</v>
      </c>
    </row>
    <row r="12" spans="1:9" ht="11.25" customHeight="1">
      <c r="A12" s="1976" t="s">
        <v>2149</v>
      </c>
      <c r="B12" s="1976" t="s">
        <v>14</v>
      </c>
      <c r="C12" s="1976" t="s">
        <v>2187</v>
      </c>
      <c r="D12" s="1976" t="s">
        <v>2188</v>
      </c>
      <c r="E12" s="1976" t="s">
        <v>2189</v>
      </c>
      <c r="F12" s="1976" t="s">
        <v>2186</v>
      </c>
      <c r="G12" s="1976" t="s">
        <v>18</v>
      </c>
      <c r="H12" s="1976" t="s">
        <v>18</v>
      </c>
      <c r="I12" s="1976" t="s">
        <v>684</v>
      </c>
    </row>
    <row r="13" spans="1:9" ht="11.25" customHeight="1">
      <c r="A13" s="1976" t="s">
        <v>2149</v>
      </c>
      <c r="B13" s="1976" t="s">
        <v>14</v>
      </c>
      <c r="C13" s="1976" t="s">
        <v>2190</v>
      </c>
      <c r="D13" s="1976" t="s">
        <v>2191</v>
      </c>
      <c r="E13" s="1976" t="s">
        <v>2192</v>
      </c>
      <c r="F13" s="1976" t="s">
        <v>2186</v>
      </c>
      <c r="G13" s="1976" t="s">
        <v>18</v>
      </c>
      <c r="H13" s="1976" t="s">
        <v>18</v>
      </c>
      <c r="I13" s="1976" t="s">
        <v>684</v>
      </c>
    </row>
    <row r="14" spans="1:9" ht="11.25" customHeight="1">
      <c r="A14" s="1976" t="s">
        <v>2149</v>
      </c>
      <c r="B14" s="1976" t="s">
        <v>14</v>
      </c>
      <c r="C14" s="1976" t="s">
        <v>2193</v>
      </c>
      <c r="D14" s="1976" t="s">
        <v>2194</v>
      </c>
      <c r="E14" s="1976" t="s">
        <v>2185</v>
      </c>
      <c r="F14" s="1976" t="s">
        <v>2179</v>
      </c>
      <c r="G14" s="1976" t="s">
        <v>18</v>
      </c>
      <c r="H14" s="1976" t="s">
        <v>18</v>
      </c>
      <c r="I14" s="1976" t="s">
        <v>684</v>
      </c>
    </row>
    <row r="15" spans="1:9" ht="11.25" customHeight="1">
      <c r="A15" s="1976" t="s">
        <v>2149</v>
      </c>
      <c r="B15" s="1976" t="s">
        <v>14</v>
      </c>
      <c r="C15" s="1976" t="s">
        <v>2195</v>
      </c>
      <c r="D15" s="1976" t="s">
        <v>2196</v>
      </c>
      <c r="E15" s="1976" t="s">
        <v>2197</v>
      </c>
      <c r="F15" s="1976" t="s">
        <v>2198</v>
      </c>
      <c r="G15" s="1976" t="s">
        <v>18</v>
      </c>
      <c r="H15" s="1976" t="s">
        <v>18</v>
      </c>
      <c r="I15" s="1976" t="s">
        <v>684</v>
      </c>
    </row>
    <row r="16" spans="1:9" ht="11.25" customHeight="1">
      <c r="A16" s="1976" t="s">
        <v>2149</v>
      </c>
      <c r="B16" s="1976" t="s">
        <v>14</v>
      </c>
      <c r="C16" s="1976" t="s">
        <v>2199</v>
      </c>
      <c r="D16" s="1976" t="s">
        <v>2200</v>
      </c>
      <c r="E16" s="1976" t="s">
        <v>2201</v>
      </c>
      <c r="F16" s="1976" t="s">
        <v>537</v>
      </c>
      <c r="G16" s="1976" t="s">
        <v>2202</v>
      </c>
      <c r="H16" s="1976" t="s">
        <v>18</v>
      </c>
      <c r="I16" s="1976" t="s">
        <v>684</v>
      </c>
    </row>
    <row r="17" spans="1:9" ht="11.25" customHeight="1">
      <c r="A17" s="1976" t="s">
        <v>2149</v>
      </c>
      <c r="B17" s="1976" t="s">
        <v>14</v>
      </c>
      <c r="C17" s="1976" t="s">
        <v>2203</v>
      </c>
      <c r="D17" s="1976" t="s">
        <v>2204</v>
      </c>
      <c r="E17" s="1976" t="s">
        <v>2205</v>
      </c>
      <c r="F17" s="1976" t="s">
        <v>2206</v>
      </c>
      <c r="G17" s="1976" t="s">
        <v>18</v>
      </c>
      <c r="H17" s="1976" t="s">
        <v>18</v>
      </c>
      <c r="I17" s="1976" t="s">
        <v>684</v>
      </c>
    </row>
    <row r="18" spans="1:9" ht="11.25" customHeight="1">
      <c r="A18" s="1976" t="s">
        <v>2149</v>
      </c>
      <c r="B18" s="1976" t="s">
        <v>14</v>
      </c>
      <c r="C18" s="1976" t="s">
        <v>2207</v>
      </c>
      <c r="D18" s="1976" t="s">
        <v>2208</v>
      </c>
      <c r="E18" s="1976" t="s">
        <v>2209</v>
      </c>
      <c r="F18" s="1976" t="s">
        <v>2210</v>
      </c>
      <c r="G18" s="1976" t="s">
        <v>18</v>
      </c>
      <c r="H18" s="1976" t="s">
        <v>18</v>
      </c>
      <c r="I18" s="1976" t="s">
        <v>684</v>
      </c>
    </row>
    <row r="19" spans="1:9" ht="11.25" customHeight="1">
      <c r="A19" s="1976" t="s">
        <v>2149</v>
      </c>
      <c r="B19" s="1976" t="s">
        <v>14</v>
      </c>
      <c r="C19" s="1976" t="s">
        <v>2211</v>
      </c>
      <c r="D19" s="1976" t="s">
        <v>2212</v>
      </c>
      <c r="E19" s="1976" t="s">
        <v>2205</v>
      </c>
      <c r="F19" s="1976" t="s">
        <v>2213</v>
      </c>
      <c r="G19" s="1976" t="s">
        <v>18</v>
      </c>
      <c r="H19" s="1976" t="s">
        <v>18</v>
      </c>
      <c r="I19" s="1976" t="s">
        <v>684</v>
      </c>
    </row>
    <row r="20" spans="1:9" ht="11.25" customHeight="1">
      <c r="A20" s="1976" t="s">
        <v>2149</v>
      </c>
      <c r="B20" s="1976" t="s">
        <v>14</v>
      </c>
      <c r="C20" s="1976" t="s">
        <v>2214</v>
      </c>
      <c r="D20" s="1976" t="s">
        <v>2215</v>
      </c>
      <c r="E20" s="1976" t="s">
        <v>2205</v>
      </c>
      <c r="F20" s="1976" t="s">
        <v>2216</v>
      </c>
      <c r="G20" s="1976" t="s">
        <v>18</v>
      </c>
      <c r="H20" s="1976" t="s">
        <v>18</v>
      </c>
      <c r="I20" s="1976" t="s">
        <v>684</v>
      </c>
    </row>
    <row r="21" spans="1:9" ht="11.25" customHeight="1">
      <c r="A21" s="1976" t="s">
        <v>2149</v>
      </c>
      <c r="B21" s="1976" t="s">
        <v>14</v>
      </c>
      <c r="C21" s="1976" t="s">
        <v>2217</v>
      </c>
      <c r="D21" s="1976" t="s">
        <v>2218</v>
      </c>
      <c r="E21" s="1976" t="s">
        <v>2205</v>
      </c>
      <c r="F21" s="1976" t="s">
        <v>2219</v>
      </c>
      <c r="G21" s="1976" t="s">
        <v>18</v>
      </c>
      <c r="H21" s="1976" t="s">
        <v>18</v>
      </c>
      <c r="I21" s="1976" t="s">
        <v>684</v>
      </c>
    </row>
    <row r="22" spans="1:9" ht="11.25" customHeight="1">
      <c r="A22" s="1976" t="s">
        <v>2149</v>
      </c>
      <c r="B22" s="1976" t="s">
        <v>14</v>
      </c>
      <c r="C22" s="1976" t="s">
        <v>2220</v>
      </c>
      <c r="D22" s="1976" t="s">
        <v>2221</v>
      </c>
      <c r="E22" s="1976" t="s">
        <v>2205</v>
      </c>
      <c r="F22" s="1976" t="s">
        <v>2222</v>
      </c>
      <c r="G22" s="1976" t="s">
        <v>18</v>
      </c>
      <c r="H22" s="1976" t="s">
        <v>18</v>
      </c>
      <c r="I22" s="1976" t="s">
        <v>684</v>
      </c>
    </row>
    <row r="23" spans="1:9" ht="11.25" customHeight="1">
      <c r="A23" s="1976" t="s">
        <v>2149</v>
      </c>
      <c r="B23" s="1976" t="s">
        <v>14</v>
      </c>
      <c r="C23" s="1976" t="s">
        <v>2223</v>
      </c>
      <c r="D23" s="1976" t="s">
        <v>2224</v>
      </c>
      <c r="E23" s="1976" t="s">
        <v>2225</v>
      </c>
      <c r="F23" s="1976" t="s">
        <v>2179</v>
      </c>
      <c r="G23" s="1976" t="s">
        <v>18</v>
      </c>
      <c r="H23" s="1976" t="s">
        <v>18</v>
      </c>
      <c r="I23" s="1976" t="s">
        <v>684</v>
      </c>
    </row>
    <row r="24" spans="1:9" ht="11.25" customHeight="1">
      <c r="A24" s="1976" t="s">
        <v>2149</v>
      </c>
      <c r="B24" s="1976" t="s">
        <v>14</v>
      </c>
      <c r="C24" s="1976" t="s">
        <v>2226</v>
      </c>
      <c r="D24" s="1976" t="s">
        <v>2227</v>
      </c>
      <c r="E24" s="1976" t="s">
        <v>2228</v>
      </c>
      <c r="F24" s="1976" t="s">
        <v>2229</v>
      </c>
      <c r="G24" s="1976" t="s">
        <v>18</v>
      </c>
      <c r="H24" s="1976" t="s">
        <v>18</v>
      </c>
      <c r="I24" s="1976" t="s">
        <v>684</v>
      </c>
    </row>
    <row r="25" spans="1:9" ht="11.25" customHeight="1">
      <c r="A25" s="1976" t="s">
        <v>2149</v>
      </c>
      <c r="B25" s="1976" t="s">
        <v>14</v>
      </c>
      <c r="C25" s="1976" t="s">
        <v>2230</v>
      </c>
      <c r="D25" s="1976" t="s">
        <v>2231</v>
      </c>
      <c r="E25" s="1976" t="s">
        <v>2232</v>
      </c>
      <c r="F25" s="1976" t="s">
        <v>2179</v>
      </c>
      <c r="G25" s="1976" t="s">
        <v>18</v>
      </c>
      <c r="H25" s="1976" t="s">
        <v>18</v>
      </c>
      <c r="I25" s="1976" t="s">
        <v>684</v>
      </c>
    </row>
    <row r="26" spans="1:9" ht="11.25" customHeight="1">
      <c r="A26" s="1976" t="s">
        <v>2149</v>
      </c>
      <c r="B26" s="1976" t="s">
        <v>14</v>
      </c>
      <c r="C26" s="1976" t="s">
        <v>2233</v>
      </c>
      <c r="D26" s="1976" t="s">
        <v>2234</v>
      </c>
      <c r="E26" s="1976" t="s">
        <v>2235</v>
      </c>
      <c r="F26" s="1976" t="s">
        <v>2236</v>
      </c>
      <c r="G26" s="1976" t="s">
        <v>18</v>
      </c>
      <c r="H26" s="1976" t="s">
        <v>18</v>
      </c>
      <c r="I26" s="1976" t="s">
        <v>684</v>
      </c>
    </row>
    <row r="27" spans="1:9" ht="11.25" customHeight="1">
      <c r="A27" s="1976" t="s">
        <v>2149</v>
      </c>
      <c r="B27" s="1976" t="s">
        <v>14</v>
      </c>
      <c r="C27" s="1976" t="s">
        <v>2237</v>
      </c>
      <c r="D27" s="1976" t="s">
        <v>2238</v>
      </c>
      <c r="E27" s="1976" t="s">
        <v>2239</v>
      </c>
      <c r="F27" s="1976" t="s">
        <v>2240</v>
      </c>
      <c r="G27" s="1976" t="s">
        <v>18</v>
      </c>
      <c r="H27" s="1976" t="s">
        <v>18</v>
      </c>
      <c r="I27" s="1976" t="s">
        <v>684</v>
      </c>
    </row>
    <row r="28" spans="1:9" ht="11.25" customHeight="1">
      <c r="A28" s="1976" t="s">
        <v>2149</v>
      </c>
      <c r="B28" s="1976" t="s">
        <v>14</v>
      </c>
      <c r="C28" s="1976" t="s">
        <v>2241</v>
      </c>
      <c r="D28" s="1976" t="s">
        <v>2242</v>
      </c>
      <c r="E28" s="1976" t="s">
        <v>2243</v>
      </c>
      <c r="F28" s="1976" t="s">
        <v>2236</v>
      </c>
      <c r="G28" s="1976" t="s">
        <v>18</v>
      </c>
      <c r="H28" s="1976" t="s">
        <v>18</v>
      </c>
      <c r="I28" s="1976" t="s">
        <v>684</v>
      </c>
    </row>
    <row r="29" spans="1:9" ht="11.25" customHeight="1">
      <c r="A29" s="1976" t="s">
        <v>2149</v>
      </c>
      <c r="B29" s="1976" t="s">
        <v>14</v>
      </c>
      <c r="C29" s="1976" t="s">
        <v>2244</v>
      </c>
      <c r="D29" s="1976" t="s">
        <v>2245</v>
      </c>
      <c r="E29" s="1976" t="s">
        <v>2246</v>
      </c>
      <c r="F29" s="1976" t="s">
        <v>2198</v>
      </c>
      <c r="G29" s="1976" t="s">
        <v>2247</v>
      </c>
      <c r="H29" s="1976" t="s">
        <v>18</v>
      </c>
      <c r="I29" s="1976" t="s">
        <v>684</v>
      </c>
    </row>
    <row r="30" spans="1:9" ht="11.25" customHeight="1">
      <c r="A30" s="1976" t="s">
        <v>2149</v>
      </c>
      <c r="B30" s="1976" t="s">
        <v>14</v>
      </c>
      <c r="C30" s="1976" t="s">
        <v>2248</v>
      </c>
      <c r="D30" s="1976" t="s">
        <v>2249</v>
      </c>
      <c r="E30" s="1976" t="s">
        <v>2250</v>
      </c>
      <c r="F30" s="1976" t="s">
        <v>2251</v>
      </c>
      <c r="G30" s="1976" t="s">
        <v>2252</v>
      </c>
      <c r="H30" s="1976" t="s">
        <v>18</v>
      </c>
      <c r="I30" s="1976" t="s">
        <v>684</v>
      </c>
    </row>
    <row r="31" spans="1:9" ht="11.25" customHeight="1">
      <c r="A31" s="1976" t="s">
        <v>2149</v>
      </c>
      <c r="B31" s="1976" t="s">
        <v>14</v>
      </c>
      <c r="C31" s="1976" t="s">
        <v>2253</v>
      </c>
      <c r="D31" s="1976" t="s">
        <v>2254</v>
      </c>
      <c r="E31" s="1976" t="s">
        <v>2255</v>
      </c>
      <c r="F31" s="1976" t="s">
        <v>2256</v>
      </c>
      <c r="G31" s="1976" t="s">
        <v>18</v>
      </c>
      <c r="H31" s="1976" t="s">
        <v>18</v>
      </c>
      <c r="I31" s="1976" t="s">
        <v>684</v>
      </c>
    </row>
    <row r="32" spans="1:9" ht="11.25" customHeight="1">
      <c r="A32" s="1976" t="s">
        <v>2149</v>
      </c>
      <c r="B32" s="1976" t="s">
        <v>14</v>
      </c>
      <c r="C32" s="1976" t="s">
        <v>2257</v>
      </c>
      <c r="D32" s="1976" t="s">
        <v>2258</v>
      </c>
      <c r="E32" s="1976" t="s">
        <v>2259</v>
      </c>
      <c r="F32" s="1976" t="s">
        <v>2260</v>
      </c>
      <c r="G32" s="1976" t="s">
        <v>2261</v>
      </c>
      <c r="H32" s="1976" t="s">
        <v>18</v>
      </c>
      <c r="I32" s="1976" t="s">
        <v>684</v>
      </c>
    </row>
    <row r="33" spans="1:9" ht="11.25" customHeight="1">
      <c r="A33" s="1976" t="s">
        <v>2149</v>
      </c>
      <c r="B33" s="1976" t="s">
        <v>14</v>
      </c>
      <c r="C33" s="1976" t="s">
        <v>2262</v>
      </c>
      <c r="D33" s="1976" t="s">
        <v>2258</v>
      </c>
      <c r="E33" s="1976" t="s">
        <v>2263</v>
      </c>
      <c r="F33" s="1976" t="s">
        <v>2264</v>
      </c>
      <c r="G33" s="1976" t="s">
        <v>18</v>
      </c>
      <c r="H33" s="1976" t="s">
        <v>18</v>
      </c>
      <c r="I33" s="1976" t="s">
        <v>684</v>
      </c>
    </row>
    <row r="34" spans="1:9" ht="11.25" customHeight="1">
      <c r="A34" s="1976" t="s">
        <v>2149</v>
      </c>
      <c r="B34" s="1976" t="s">
        <v>14</v>
      </c>
      <c r="C34" s="1976" t="s">
        <v>2265</v>
      </c>
      <c r="D34" s="1976" t="s">
        <v>2266</v>
      </c>
      <c r="E34" s="1976" t="s">
        <v>2267</v>
      </c>
      <c r="F34" s="1976" t="s">
        <v>2160</v>
      </c>
      <c r="G34" s="1976" t="s">
        <v>18</v>
      </c>
      <c r="H34" s="1976" t="s">
        <v>18</v>
      </c>
      <c r="I34" s="1976" t="s">
        <v>684</v>
      </c>
    </row>
    <row r="35" spans="1:9" ht="11.25" customHeight="1">
      <c r="A35" s="1976" t="s">
        <v>2149</v>
      </c>
      <c r="B35" s="1976" t="s">
        <v>14</v>
      </c>
      <c r="C35" s="1976" t="s">
        <v>2268</v>
      </c>
      <c r="D35" s="1976" t="s">
        <v>2269</v>
      </c>
      <c r="E35" s="1976" t="s">
        <v>2270</v>
      </c>
      <c r="F35" s="1976" t="s">
        <v>2240</v>
      </c>
      <c r="G35" s="1976" t="s">
        <v>18</v>
      </c>
      <c r="H35" s="1976" t="s">
        <v>18</v>
      </c>
      <c r="I35" s="1976" t="s">
        <v>684</v>
      </c>
    </row>
    <row r="36" spans="1:9" ht="11.25" customHeight="1">
      <c r="A36" s="1976" t="s">
        <v>2149</v>
      </c>
      <c r="B36" s="1976" t="s">
        <v>14</v>
      </c>
      <c r="C36" s="1976" t="s">
        <v>2271</v>
      </c>
      <c r="D36" s="1976" t="s">
        <v>2272</v>
      </c>
      <c r="E36" s="1976" t="s">
        <v>2273</v>
      </c>
      <c r="F36" s="1976" t="s">
        <v>2229</v>
      </c>
      <c r="G36" s="1976" t="s">
        <v>18</v>
      </c>
      <c r="H36" s="1976" t="s">
        <v>18</v>
      </c>
      <c r="I36" s="1976" t="s">
        <v>684</v>
      </c>
    </row>
    <row r="37" spans="1:9" ht="11.25" customHeight="1">
      <c r="A37" s="1976" t="s">
        <v>2149</v>
      </c>
      <c r="B37" s="1976" t="s">
        <v>14</v>
      </c>
      <c r="C37" s="1976" t="s">
        <v>2274</v>
      </c>
      <c r="D37" s="1976" t="s">
        <v>2275</v>
      </c>
      <c r="E37" s="1976" t="s">
        <v>2276</v>
      </c>
      <c r="F37" s="1976" t="s">
        <v>2229</v>
      </c>
      <c r="G37" s="1976" t="s">
        <v>18</v>
      </c>
      <c r="H37" s="1976" t="s">
        <v>18</v>
      </c>
      <c r="I37" s="1976" t="s">
        <v>684</v>
      </c>
    </row>
    <row r="38" spans="1:9" ht="11.25" customHeight="1">
      <c r="A38" s="1976" t="s">
        <v>2149</v>
      </c>
      <c r="B38" s="1976" t="s">
        <v>14</v>
      </c>
      <c r="C38" s="1976" t="s">
        <v>2277</v>
      </c>
      <c r="D38" s="1976" t="s">
        <v>2278</v>
      </c>
      <c r="E38" s="1976" t="s">
        <v>2279</v>
      </c>
      <c r="F38" s="1976" t="s">
        <v>2280</v>
      </c>
      <c r="G38" s="1976" t="s">
        <v>18</v>
      </c>
      <c r="H38" s="1976" t="s">
        <v>18</v>
      </c>
      <c r="I38" s="1976" t="s">
        <v>684</v>
      </c>
    </row>
    <row r="39" spans="1:9" ht="11.25" customHeight="1">
      <c r="A39" s="1976" t="s">
        <v>2149</v>
      </c>
      <c r="B39" s="1976" t="s">
        <v>14</v>
      </c>
      <c r="C39" s="1976" t="s">
        <v>2281</v>
      </c>
      <c r="D39" s="1976" t="s">
        <v>2282</v>
      </c>
      <c r="E39" s="1976" t="s">
        <v>2283</v>
      </c>
      <c r="F39" s="1976" t="s">
        <v>2284</v>
      </c>
      <c r="G39" s="1976" t="s">
        <v>18</v>
      </c>
      <c r="H39" s="1976" t="s">
        <v>18</v>
      </c>
      <c r="I39" s="1976" t="s">
        <v>684</v>
      </c>
    </row>
    <row r="40" spans="1:9" ht="11.25" customHeight="1">
      <c r="A40" s="1976" t="s">
        <v>2149</v>
      </c>
      <c r="B40" s="1976" t="s">
        <v>14</v>
      </c>
      <c r="C40" s="1976" t="s">
        <v>2285</v>
      </c>
      <c r="D40" s="1976" t="s">
        <v>2286</v>
      </c>
      <c r="E40" s="1976" t="s">
        <v>2287</v>
      </c>
      <c r="F40" s="1976" t="s">
        <v>2186</v>
      </c>
      <c r="G40" s="1976" t="s">
        <v>18</v>
      </c>
      <c r="H40" s="1976" t="s">
        <v>18</v>
      </c>
      <c r="I40" s="1976" t="s">
        <v>684</v>
      </c>
    </row>
    <row r="41" spans="1:9" ht="11.25" customHeight="1">
      <c r="A41" s="1976" t="s">
        <v>2149</v>
      </c>
      <c r="B41" s="1976" t="s">
        <v>14</v>
      </c>
      <c r="C41" s="1976" t="s">
        <v>2288</v>
      </c>
      <c r="D41" s="1976" t="s">
        <v>2289</v>
      </c>
      <c r="E41" s="1976" t="s">
        <v>2290</v>
      </c>
      <c r="F41" s="1976" t="s">
        <v>2240</v>
      </c>
      <c r="G41" s="1976" t="s">
        <v>18</v>
      </c>
      <c r="H41" s="1976" t="s">
        <v>18</v>
      </c>
      <c r="I41" s="1976" t="s">
        <v>684</v>
      </c>
    </row>
    <row r="42" spans="1:9" ht="11.25" customHeight="1">
      <c r="A42" s="1976" t="s">
        <v>2149</v>
      </c>
      <c r="B42" s="1976" t="s">
        <v>14</v>
      </c>
      <c r="C42" s="1976" t="s">
        <v>2291</v>
      </c>
      <c r="D42" s="1976" t="s">
        <v>2292</v>
      </c>
      <c r="E42" s="1976" t="s">
        <v>2293</v>
      </c>
      <c r="F42" s="1976" t="s">
        <v>2294</v>
      </c>
      <c r="G42" s="1976" t="s">
        <v>18</v>
      </c>
      <c r="H42" s="1976" t="s">
        <v>18</v>
      </c>
      <c r="I42" s="1976" t="s">
        <v>684</v>
      </c>
    </row>
    <row r="43" spans="1:9" ht="11.25" customHeight="1">
      <c r="A43" s="1976" t="s">
        <v>2149</v>
      </c>
      <c r="B43" s="1976" t="s">
        <v>14</v>
      </c>
      <c r="C43" s="1976" t="s">
        <v>2295</v>
      </c>
      <c r="D43" s="1976" t="s">
        <v>2296</v>
      </c>
      <c r="E43" s="1976" t="s">
        <v>2297</v>
      </c>
      <c r="F43" s="1976" t="s">
        <v>2280</v>
      </c>
      <c r="G43" s="1976" t="s">
        <v>18</v>
      </c>
      <c r="H43" s="1976" t="s">
        <v>18</v>
      </c>
      <c r="I43" s="1976" t="s">
        <v>684</v>
      </c>
    </row>
    <row r="44" spans="1:9" ht="11.25" customHeight="1">
      <c r="A44" s="1976" t="s">
        <v>2149</v>
      </c>
      <c r="B44" s="1976" t="s">
        <v>14</v>
      </c>
      <c r="C44" s="1976" t="s">
        <v>2298</v>
      </c>
      <c r="D44" s="1976" t="s">
        <v>2299</v>
      </c>
      <c r="E44" s="1976" t="s">
        <v>2300</v>
      </c>
      <c r="F44" s="1976" t="s">
        <v>2301</v>
      </c>
      <c r="G44" s="1976" t="s">
        <v>18</v>
      </c>
      <c r="H44" s="1976" t="s">
        <v>18</v>
      </c>
      <c r="I44" s="1976" t="s">
        <v>684</v>
      </c>
    </row>
    <row r="45" spans="1:9" ht="11.25" customHeight="1">
      <c r="A45" s="1976" t="s">
        <v>2149</v>
      </c>
      <c r="B45" s="1976" t="s">
        <v>14</v>
      </c>
      <c r="C45" s="1976" t="s">
        <v>2302</v>
      </c>
      <c r="D45" s="1976" t="s">
        <v>2303</v>
      </c>
      <c r="E45" s="1976" t="s">
        <v>2304</v>
      </c>
      <c r="F45" s="1976" t="s">
        <v>2305</v>
      </c>
      <c r="G45" s="1976" t="s">
        <v>18</v>
      </c>
      <c r="H45" s="1976" t="s">
        <v>18</v>
      </c>
      <c r="I45" s="1976" t="s">
        <v>684</v>
      </c>
    </row>
    <row r="46" spans="1:9" ht="11.25" customHeight="1">
      <c r="A46" s="1976" t="s">
        <v>2149</v>
      </c>
      <c r="B46" s="1976" t="s">
        <v>14</v>
      </c>
      <c r="C46" s="1976" t="s">
        <v>2306</v>
      </c>
      <c r="D46" s="1976" t="s">
        <v>2307</v>
      </c>
      <c r="E46" s="1976" t="s">
        <v>2308</v>
      </c>
      <c r="F46" s="1976" t="s">
        <v>2229</v>
      </c>
      <c r="G46" s="1976" t="s">
        <v>18</v>
      </c>
      <c r="H46" s="1976" t="s">
        <v>18</v>
      </c>
      <c r="I46" s="1976" t="s">
        <v>684</v>
      </c>
    </row>
    <row r="47" spans="1:9" ht="11.25" customHeight="1">
      <c r="A47" s="1976" t="s">
        <v>2149</v>
      </c>
      <c r="B47" s="1976" t="s">
        <v>14</v>
      </c>
      <c r="C47" s="1976" t="s">
        <v>2309</v>
      </c>
      <c r="D47" s="1976" t="s">
        <v>2310</v>
      </c>
      <c r="E47" s="1976" t="s">
        <v>2311</v>
      </c>
      <c r="F47" s="1976" t="s">
        <v>2236</v>
      </c>
      <c r="G47" s="1976" t="s">
        <v>18</v>
      </c>
      <c r="H47" s="1976" t="s">
        <v>18</v>
      </c>
      <c r="I47" s="1976" t="s">
        <v>684</v>
      </c>
    </row>
    <row r="48" spans="1:9" ht="11.25" customHeight="1">
      <c r="A48" s="1976" t="s">
        <v>2149</v>
      </c>
      <c r="B48" s="1976" t="s">
        <v>14</v>
      </c>
      <c r="C48" s="1976" t="s">
        <v>2312</v>
      </c>
      <c r="D48" s="1976" t="s">
        <v>2313</v>
      </c>
      <c r="E48" s="1976" t="s">
        <v>2314</v>
      </c>
      <c r="F48" s="1976" t="s">
        <v>2186</v>
      </c>
      <c r="G48" s="1976" t="s">
        <v>18</v>
      </c>
      <c r="H48" s="1976" t="s">
        <v>18</v>
      </c>
      <c r="I48" s="1976" t="s">
        <v>684</v>
      </c>
    </row>
    <row r="49" spans="1:9" ht="11.25" customHeight="1">
      <c r="A49" s="1976" t="s">
        <v>2149</v>
      </c>
      <c r="B49" s="1976" t="s">
        <v>14</v>
      </c>
      <c r="C49" s="1976" t="s">
        <v>2315</v>
      </c>
      <c r="D49" s="1976" t="s">
        <v>2316</v>
      </c>
      <c r="E49" s="1976" t="s">
        <v>2317</v>
      </c>
      <c r="F49" s="1976" t="s">
        <v>2229</v>
      </c>
      <c r="G49" s="1976" t="s">
        <v>18</v>
      </c>
      <c r="H49" s="1976" t="s">
        <v>18</v>
      </c>
      <c r="I49" s="1976" t="s">
        <v>684</v>
      </c>
    </row>
    <row r="50" spans="1:9" ht="11.25" customHeight="1">
      <c r="A50" s="1976" t="s">
        <v>2149</v>
      </c>
      <c r="B50" s="1976" t="s">
        <v>14</v>
      </c>
      <c r="C50" s="1976" t="s">
        <v>2318</v>
      </c>
      <c r="D50" s="1976" t="s">
        <v>2319</v>
      </c>
      <c r="E50" s="1976" t="s">
        <v>2320</v>
      </c>
      <c r="F50" s="1976" t="s">
        <v>2264</v>
      </c>
      <c r="G50" s="1976" t="s">
        <v>18</v>
      </c>
      <c r="H50" s="1976" t="s">
        <v>2321</v>
      </c>
      <c r="I50" s="1976" t="s">
        <v>684</v>
      </c>
    </row>
    <row r="51" spans="1:9" ht="11.25" customHeight="1">
      <c r="A51" s="1976" t="s">
        <v>2149</v>
      </c>
      <c r="B51" s="1976" t="s">
        <v>14</v>
      </c>
      <c r="C51" s="1976" t="s">
        <v>2322</v>
      </c>
      <c r="D51" s="1976" t="s">
        <v>2323</v>
      </c>
      <c r="E51" s="1976" t="s">
        <v>2324</v>
      </c>
      <c r="F51" s="1976" t="s">
        <v>2325</v>
      </c>
      <c r="G51" s="1976" t="s">
        <v>18</v>
      </c>
      <c r="H51" s="1976" t="s">
        <v>18</v>
      </c>
      <c r="I51" s="1976" t="s">
        <v>684</v>
      </c>
    </row>
    <row r="52" spans="1:9" ht="11.25" customHeight="1">
      <c r="A52" s="1976" t="s">
        <v>2149</v>
      </c>
      <c r="B52" s="1976" t="s">
        <v>14</v>
      </c>
      <c r="C52" s="1976" t="s">
        <v>2326</v>
      </c>
      <c r="D52" s="1976" t="s">
        <v>2327</v>
      </c>
      <c r="E52" s="1976" t="s">
        <v>2328</v>
      </c>
      <c r="F52" s="1976" t="s">
        <v>2294</v>
      </c>
      <c r="G52" s="1976" t="s">
        <v>18</v>
      </c>
      <c r="H52" s="1976" t="s">
        <v>18</v>
      </c>
      <c r="I52" s="1976" t="s">
        <v>684</v>
      </c>
    </row>
    <row r="53" spans="1:9" ht="11.25" customHeight="1">
      <c r="A53" s="1976" t="s">
        <v>2149</v>
      </c>
      <c r="B53" s="1976" t="s">
        <v>14</v>
      </c>
      <c r="C53" s="1976" t="s">
        <v>2329</v>
      </c>
      <c r="D53" s="1976" t="s">
        <v>2330</v>
      </c>
      <c r="E53" s="1976" t="s">
        <v>2331</v>
      </c>
      <c r="F53" s="1976" t="s">
        <v>2264</v>
      </c>
      <c r="G53" s="1976" t="s">
        <v>18</v>
      </c>
      <c r="H53" s="1976" t="s">
        <v>18</v>
      </c>
      <c r="I53" s="1976" t="s">
        <v>684</v>
      </c>
    </row>
    <row r="54" spans="1:9" ht="11.25" customHeight="1">
      <c r="A54" s="1976" t="s">
        <v>2149</v>
      </c>
      <c r="B54" s="1976" t="s">
        <v>14</v>
      </c>
      <c r="C54" s="1976" t="s">
        <v>2332</v>
      </c>
      <c r="D54" s="1976" t="s">
        <v>2333</v>
      </c>
      <c r="E54" s="1976" t="s">
        <v>2334</v>
      </c>
      <c r="F54" s="1976" t="s">
        <v>2229</v>
      </c>
      <c r="G54" s="1976" t="s">
        <v>18</v>
      </c>
      <c r="H54" s="1976" t="s">
        <v>18</v>
      </c>
      <c r="I54" s="1976" t="s">
        <v>684</v>
      </c>
    </row>
    <row r="55" spans="1:9" ht="11.25" customHeight="1">
      <c r="A55" s="1976" t="s">
        <v>2149</v>
      </c>
      <c r="B55" s="1976" t="s">
        <v>14</v>
      </c>
      <c r="C55" s="1976" t="s">
        <v>2335</v>
      </c>
      <c r="D55" s="1976" t="s">
        <v>2336</v>
      </c>
      <c r="E55" s="1976" t="s">
        <v>2337</v>
      </c>
      <c r="F55" s="1976" t="s">
        <v>2264</v>
      </c>
      <c r="G55" s="1976" t="s">
        <v>18</v>
      </c>
      <c r="H55" s="1976" t="s">
        <v>18</v>
      </c>
      <c r="I55" s="1976" t="s">
        <v>684</v>
      </c>
    </row>
    <row r="56" spans="1:9" ht="11.25" customHeight="1">
      <c r="A56" s="1976" t="s">
        <v>2149</v>
      </c>
      <c r="B56" s="1976" t="s">
        <v>14</v>
      </c>
      <c r="C56" s="1976" t="s">
        <v>2338</v>
      </c>
      <c r="D56" s="1976" t="s">
        <v>2339</v>
      </c>
      <c r="E56" s="1976" t="s">
        <v>2340</v>
      </c>
      <c r="F56" s="1976" t="s">
        <v>2229</v>
      </c>
      <c r="G56" s="1976" t="s">
        <v>2341</v>
      </c>
      <c r="H56" s="1976" t="s">
        <v>18</v>
      </c>
      <c r="I56" s="1976" t="s">
        <v>684</v>
      </c>
    </row>
    <row r="57" spans="1:9" ht="11.25" customHeight="1">
      <c r="A57" s="1976" t="s">
        <v>2149</v>
      </c>
      <c r="B57" s="1976" t="s">
        <v>14</v>
      </c>
      <c r="C57" s="1976" t="s">
        <v>2342</v>
      </c>
      <c r="D57" s="1976" t="s">
        <v>2343</v>
      </c>
      <c r="E57" s="1976" t="s">
        <v>2344</v>
      </c>
      <c r="F57" s="1976" t="s">
        <v>2264</v>
      </c>
      <c r="G57" s="1976" t="s">
        <v>2345</v>
      </c>
      <c r="H57" s="1976" t="s">
        <v>18</v>
      </c>
      <c r="I57" s="1976" t="s">
        <v>684</v>
      </c>
    </row>
    <row r="58" spans="1:9" ht="11.25" customHeight="1">
      <c r="A58" s="1976" t="s">
        <v>2149</v>
      </c>
      <c r="B58" s="1976" t="s">
        <v>14</v>
      </c>
      <c r="C58" s="1976" t="s">
        <v>2346</v>
      </c>
      <c r="D58" s="1976" t="s">
        <v>2347</v>
      </c>
      <c r="E58" s="1976" t="s">
        <v>2348</v>
      </c>
      <c r="F58" s="1976" t="s">
        <v>2349</v>
      </c>
      <c r="G58" s="1976" t="s">
        <v>18</v>
      </c>
      <c r="H58" s="1976" t="s">
        <v>18</v>
      </c>
      <c r="I58" s="1976" t="s">
        <v>684</v>
      </c>
    </row>
    <row r="59" spans="1:9" ht="11.25" customHeight="1">
      <c r="A59" s="1976" t="s">
        <v>2149</v>
      </c>
      <c r="B59" s="1976" t="s">
        <v>14</v>
      </c>
      <c r="C59" s="1976" t="s">
        <v>2350</v>
      </c>
      <c r="D59" s="1976" t="s">
        <v>2351</v>
      </c>
      <c r="E59" s="1976" t="s">
        <v>2352</v>
      </c>
      <c r="F59" s="1976" t="s">
        <v>2325</v>
      </c>
      <c r="G59" s="1976" t="s">
        <v>18</v>
      </c>
      <c r="H59" s="1976" t="s">
        <v>18</v>
      </c>
      <c r="I59" s="1976" t="s">
        <v>684</v>
      </c>
    </row>
    <row r="60" spans="1:9" ht="11.25" customHeight="1">
      <c r="A60" s="1976" t="s">
        <v>2149</v>
      </c>
      <c r="B60" s="1976" t="s">
        <v>14</v>
      </c>
      <c r="C60" s="1976" t="s">
        <v>2353</v>
      </c>
      <c r="D60" s="1976" t="s">
        <v>2354</v>
      </c>
      <c r="E60" s="1976" t="s">
        <v>2355</v>
      </c>
      <c r="F60" s="1976" t="s">
        <v>2240</v>
      </c>
      <c r="G60" s="1976" t="s">
        <v>18</v>
      </c>
      <c r="H60" s="1976" t="s">
        <v>18</v>
      </c>
      <c r="I60" s="1976" t="s">
        <v>684</v>
      </c>
    </row>
    <row r="61" spans="1:9" ht="11.25" customHeight="1">
      <c r="A61" s="1976" t="s">
        <v>2149</v>
      </c>
      <c r="B61" s="1976" t="s">
        <v>14</v>
      </c>
      <c r="C61" s="1976" t="s">
        <v>2356</v>
      </c>
      <c r="D61" s="1976" t="s">
        <v>2357</v>
      </c>
      <c r="E61" s="1976" t="s">
        <v>2358</v>
      </c>
      <c r="F61" s="1976" t="s">
        <v>2294</v>
      </c>
      <c r="G61" s="1976" t="s">
        <v>18</v>
      </c>
      <c r="H61" s="1976" t="s">
        <v>18</v>
      </c>
      <c r="I61" s="1976" t="s">
        <v>684</v>
      </c>
    </row>
    <row r="62" spans="1:9" ht="11.25" customHeight="1">
      <c r="A62" s="1976" t="s">
        <v>2149</v>
      </c>
      <c r="B62" s="1976" t="s">
        <v>14</v>
      </c>
      <c r="C62" s="1976" t="s">
        <v>2359</v>
      </c>
      <c r="D62" s="1976" t="s">
        <v>2360</v>
      </c>
      <c r="E62" s="1976" t="s">
        <v>2361</v>
      </c>
      <c r="F62" s="1976" t="s">
        <v>2160</v>
      </c>
      <c r="G62" s="1976" t="s">
        <v>18</v>
      </c>
      <c r="H62" s="1976" t="s">
        <v>18</v>
      </c>
      <c r="I62" s="1976" t="s">
        <v>684</v>
      </c>
    </row>
    <row r="63" spans="1:9" ht="11.25" customHeight="1">
      <c r="A63" s="1976" t="s">
        <v>2149</v>
      </c>
      <c r="B63" s="1976" t="s">
        <v>14</v>
      </c>
      <c r="C63" s="1976" t="s">
        <v>2362</v>
      </c>
      <c r="D63" s="1976" t="s">
        <v>2363</v>
      </c>
      <c r="E63" s="1976" t="s">
        <v>2364</v>
      </c>
      <c r="F63" s="1976" t="s">
        <v>2365</v>
      </c>
      <c r="G63" s="1976" t="s">
        <v>18</v>
      </c>
      <c r="H63" s="1976" t="s">
        <v>18</v>
      </c>
      <c r="I63" s="1976" t="s">
        <v>684</v>
      </c>
    </row>
    <row r="64" spans="1:9" ht="11.25" customHeight="1">
      <c r="A64" s="1976" t="s">
        <v>2149</v>
      </c>
      <c r="B64" s="1976" t="s">
        <v>14</v>
      </c>
      <c r="C64" s="1976" t="s">
        <v>2366</v>
      </c>
      <c r="D64" s="1976" t="s">
        <v>2367</v>
      </c>
      <c r="E64" s="1976" t="s">
        <v>2205</v>
      </c>
      <c r="F64" s="1976" t="s">
        <v>2368</v>
      </c>
      <c r="G64" s="1976" t="s">
        <v>18</v>
      </c>
      <c r="H64" s="1976" t="s">
        <v>18</v>
      </c>
      <c r="I64" s="1976" t="s">
        <v>684</v>
      </c>
    </row>
    <row r="65" spans="1:9" ht="11.25" customHeight="1">
      <c r="A65" s="1976" t="s">
        <v>2149</v>
      </c>
      <c r="B65" s="1976" t="s">
        <v>14</v>
      </c>
      <c r="C65" s="1976" t="s">
        <v>2369</v>
      </c>
      <c r="D65" s="1976" t="s">
        <v>2370</v>
      </c>
      <c r="E65" s="1976" t="s">
        <v>2371</v>
      </c>
      <c r="F65" s="1976" t="s">
        <v>2229</v>
      </c>
      <c r="G65" s="1976" t="s">
        <v>18</v>
      </c>
      <c r="H65" s="1976" t="s">
        <v>18</v>
      </c>
      <c r="I65" s="1976" t="s">
        <v>684</v>
      </c>
    </row>
    <row r="66" spans="1:9" ht="11.25" customHeight="1">
      <c r="A66" s="1976" t="s">
        <v>2149</v>
      </c>
      <c r="B66" s="1976" t="s">
        <v>14</v>
      </c>
      <c r="C66" s="1976" t="s">
        <v>2372</v>
      </c>
      <c r="D66" s="1976" t="s">
        <v>2373</v>
      </c>
      <c r="E66" s="1976" t="s">
        <v>2374</v>
      </c>
      <c r="F66" s="1976" t="s">
        <v>2160</v>
      </c>
      <c r="G66" s="1976" t="s">
        <v>18</v>
      </c>
      <c r="H66" s="1976" t="s">
        <v>18</v>
      </c>
      <c r="I66" s="1976" t="s">
        <v>684</v>
      </c>
    </row>
    <row r="67" spans="1:9" ht="11.25" customHeight="1">
      <c r="A67" s="1976" t="s">
        <v>2149</v>
      </c>
      <c r="B67" s="1976" t="s">
        <v>14</v>
      </c>
      <c r="C67" s="1976" t="s">
        <v>2375</v>
      </c>
      <c r="D67" s="1976" t="s">
        <v>2376</v>
      </c>
      <c r="E67" s="1976" t="s">
        <v>2377</v>
      </c>
      <c r="F67" s="1976" t="s">
        <v>2264</v>
      </c>
      <c r="G67" s="1976" t="s">
        <v>18</v>
      </c>
      <c r="H67" s="1976" t="s">
        <v>2378</v>
      </c>
      <c r="I67" s="1976" t="s">
        <v>684</v>
      </c>
    </row>
    <row r="68" spans="1:9" ht="11.25" customHeight="1">
      <c r="A68" s="1976" t="s">
        <v>2149</v>
      </c>
      <c r="B68" s="1976" t="s">
        <v>14</v>
      </c>
      <c r="C68" s="1976" t="s">
        <v>2379</v>
      </c>
      <c r="D68" s="1976" t="s">
        <v>2380</v>
      </c>
      <c r="E68" s="1976" t="s">
        <v>2381</v>
      </c>
      <c r="F68" s="1976" t="s">
        <v>2160</v>
      </c>
      <c r="G68" s="1976" t="s">
        <v>18</v>
      </c>
      <c r="H68" s="1976" t="s">
        <v>18</v>
      </c>
      <c r="I68" s="1976" t="s">
        <v>684</v>
      </c>
    </row>
    <row r="69" spans="1:9" ht="11.25" customHeight="1">
      <c r="A69" s="1976" t="s">
        <v>2149</v>
      </c>
      <c r="B69" s="1976" t="s">
        <v>14</v>
      </c>
      <c r="C69" s="1976" t="s">
        <v>2382</v>
      </c>
      <c r="D69" s="1976" t="s">
        <v>2383</v>
      </c>
      <c r="E69" s="1976" t="s">
        <v>2384</v>
      </c>
      <c r="F69" s="1976" t="s">
        <v>2365</v>
      </c>
      <c r="G69" s="1976" t="s">
        <v>18</v>
      </c>
      <c r="H69" s="1976" t="s">
        <v>18</v>
      </c>
      <c r="I69" s="1976" t="s">
        <v>684</v>
      </c>
    </row>
    <row r="70" spans="1:9" ht="11.25" customHeight="1">
      <c r="A70" s="1976" t="s">
        <v>2149</v>
      </c>
      <c r="B70" s="1976" t="s">
        <v>14</v>
      </c>
      <c r="C70" s="1976" t="s">
        <v>2385</v>
      </c>
      <c r="D70" s="1976" t="s">
        <v>2386</v>
      </c>
      <c r="E70" s="1976" t="s">
        <v>2387</v>
      </c>
      <c r="F70" s="1976" t="s">
        <v>2349</v>
      </c>
      <c r="G70" s="1976" t="s">
        <v>18</v>
      </c>
      <c r="H70" s="1976" t="s">
        <v>18</v>
      </c>
      <c r="I70" s="1976" t="s">
        <v>684</v>
      </c>
    </row>
    <row r="71" spans="1:9" ht="11.25" customHeight="1">
      <c r="A71" s="1976" t="s">
        <v>2149</v>
      </c>
      <c r="B71" s="1976" t="s">
        <v>14</v>
      </c>
      <c r="C71" s="1976" t="s">
        <v>2388</v>
      </c>
      <c r="D71" s="1976" t="s">
        <v>2389</v>
      </c>
      <c r="E71" s="1976" t="s">
        <v>2390</v>
      </c>
      <c r="F71" s="1976" t="s">
        <v>2186</v>
      </c>
      <c r="G71" s="1976" t="s">
        <v>18</v>
      </c>
      <c r="H71" s="1976" t="s">
        <v>18</v>
      </c>
      <c r="I71" s="1976" t="s">
        <v>684</v>
      </c>
    </row>
    <row r="72" spans="1:9" ht="11.25" customHeight="1">
      <c r="A72" s="1976" t="s">
        <v>2149</v>
      </c>
      <c r="B72" s="1976" t="s">
        <v>14</v>
      </c>
      <c r="C72" s="1976" t="s">
        <v>2391</v>
      </c>
      <c r="D72" s="1976" t="s">
        <v>2392</v>
      </c>
      <c r="E72" s="1976" t="s">
        <v>2393</v>
      </c>
      <c r="F72" s="1976" t="s">
        <v>2160</v>
      </c>
      <c r="G72" s="1976" t="s">
        <v>18</v>
      </c>
      <c r="H72" s="1976" t="s">
        <v>18</v>
      </c>
      <c r="I72" s="1976" t="s">
        <v>684</v>
      </c>
    </row>
    <row r="73" spans="1:9" ht="11.25" customHeight="1">
      <c r="A73" s="1976" t="s">
        <v>2149</v>
      </c>
      <c r="B73" s="1976" t="s">
        <v>14</v>
      </c>
      <c r="C73" s="1976" t="s">
        <v>2394</v>
      </c>
      <c r="D73" s="1976" t="s">
        <v>2395</v>
      </c>
      <c r="E73" s="1976" t="s">
        <v>2396</v>
      </c>
      <c r="F73" s="1976" t="s">
        <v>2229</v>
      </c>
      <c r="G73" s="1976" t="s">
        <v>18</v>
      </c>
      <c r="H73" s="1976" t="s">
        <v>18</v>
      </c>
      <c r="I73" s="1976" t="s">
        <v>684</v>
      </c>
    </row>
    <row r="74" spans="1:9" ht="11.25" customHeight="1">
      <c r="A74" s="1976" t="s">
        <v>2149</v>
      </c>
      <c r="B74" s="1976" t="s">
        <v>14</v>
      </c>
      <c r="C74" s="1976" t="s">
        <v>2397</v>
      </c>
      <c r="D74" s="1976" t="s">
        <v>2398</v>
      </c>
      <c r="E74" s="1976" t="s">
        <v>2399</v>
      </c>
      <c r="F74" s="1976" t="s">
        <v>2264</v>
      </c>
      <c r="G74" s="1976" t="s">
        <v>18</v>
      </c>
      <c r="H74" s="1976" t="s">
        <v>18</v>
      </c>
      <c r="I74" s="1976" t="s">
        <v>684</v>
      </c>
    </row>
    <row r="75" spans="1:9" ht="11.25" customHeight="1">
      <c r="A75" s="1976" t="s">
        <v>2149</v>
      </c>
      <c r="B75" s="1976" t="s">
        <v>14</v>
      </c>
      <c r="C75" s="1976" t="s">
        <v>2400</v>
      </c>
      <c r="D75" s="1976" t="s">
        <v>2401</v>
      </c>
      <c r="E75" s="1976" t="s">
        <v>2402</v>
      </c>
      <c r="F75" s="1976" t="s">
        <v>2349</v>
      </c>
      <c r="G75" s="1976" t="s">
        <v>18</v>
      </c>
      <c r="H75" s="1976" t="s">
        <v>18</v>
      </c>
      <c r="I75" s="1976" t="s">
        <v>684</v>
      </c>
    </row>
    <row r="76" spans="1:9" ht="11.25" customHeight="1">
      <c r="A76" s="1976" t="s">
        <v>2149</v>
      </c>
      <c r="B76" s="1976" t="s">
        <v>14</v>
      </c>
      <c r="C76" s="1976" t="s">
        <v>2403</v>
      </c>
      <c r="D76" s="1976" t="s">
        <v>2404</v>
      </c>
      <c r="E76" s="1976" t="s">
        <v>2405</v>
      </c>
      <c r="F76" s="1976" t="s">
        <v>2186</v>
      </c>
      <c r="G76" s="1976" t="s">
        <v>18</v>
      </c>
      <c r="H76" s="1976" t="s">
        <v>18</v>
      </c>
      <c r="I76" s="1976" t="s">
        <v>684</v>
      </c>
    </row>
    <row r="77" spans="1:9" ht="11.25" customHeight="1">
      <c r="A77" s="1976" t="s">
        <v>2149</v>
      </c>
      <c r="B77" s="1976" t="s">
        <v>14</v>
      </c>
      <c r="C77" s="1976" t="s">
        <v>2406</v>
      </c>
      <c r="D77" s="1976" t="s">
        <v>2407</v>
      </c>
      <c r="E77" s="1976" t="s">
        <v>2408</v>
      </c>
      <c r="F77" s="1976" t="s">
        <v>2160</v>
      </c>
      <c r="G77" s="1976" t="s">
        <v>18</v>
      </c>
      <c r="H77" s="1976" t="s">
        <v>18</v>
      </c>
      <c r="I77" s="1976" t="s">
        <v>684</v>
      </c>
    </row>
    <row r="78" spans="1:9" ht="11.25" customHeight="1">
      <c r="A78" s="1976" t="s">
        <v>2149</v>
      </c>
      <c r="B78" s="1976" t="s">
        <v>14</v>
      </c>
      <c r="C78" s="1976" t="s">
        <v>2409</v>
      </c>
      <c r="D78" s="1976" t="s">
        <v>2410</v>
      </c>
      <c r="E78" s="1976" t="s">
        <v>2411</v>
      </c>
      <c r="F78" s="1976" t="s">
        <v>2264</v>
      </c>
      <c r="G78" s="1976" t="s">
        <v>2412</v>
      </c>
      <c r="H78" s="1976" t="s">
        <v>18</v>
      </c>
      <c r="I78" s="1976" t="s">
        <v>684</v>
      </c>
    </row>
    <row r="79" spans="1:9" ht="11.25" customHeight="1">
      <c r="A79" s="1976" t="s">
        <v>2149</v>
      </c>
      <c r="B79" s="1976" t="s">
        <v>14</v>
      </c>
      <c r="C79" s="1976" t="s">
        <v>2413</v>
      </c>
      <c r="D79" s="1976" t="s">
        <v>2414</v>
      </c>
      <c r="E79" s="1976" t="s">
        <v>2415</v>
      </c>
      <c r="F79" s="1976" t="s">
        <v>2416</v>
      </c>
      <c r="G79" s="1976" t="s">
        <v>18</v>
      </c>
      <c r="H79" s="1976" t="s">
        <v>18</v>
      </c>
      <c r="I79" s="1976" t="s">
        <v>684</v>
      </c>
    </row>
    <row r="80" spans="1:9" ht="11.25" customHeight="1">
      <c r="A80" s="1976" t="s">
        <v>2149</v>
      </c>
      <c r="B80" s="1976" t="s">
        <v>14</v>
      </c>
      <c r="C80" s="1976" t="s">
        <v>2417</v>
      </c>
      <c r="D80" s="1976" t="s">
        <v>2418</v>
      </c>
      <c r="E80" s="1976" t="s">
        <v>2419</v>
      </c>
      <c r="F80" s="1976" t="s">
        <v>2420</v>
      </c>
      <c r="G80" s="1976" t="s">
        <v>18</v>
      </c>
      <c r="H80" s="1976" t="s">
        <v>18</v>
      </c>
      <c r="I80" s="1976" t="s">
        <v>684</v>
      </c>
    </row>
    <row r="81" spans="1:9" ht="11.25" customHeight="1">
      <c r="A81" s="1976" t="s">
        <v>2149</v>
      </c>
      <c r="B81" s="1976" t="s">
        <v>14</v>
      </c>
      <c r="C81" s="1976" t="s">
        <v>2421</v>
      </c>
      <c r="D81" s="1976" t="s">
        <v>2422</v>
      </c>
      <c r="E81" s="1976" t="s">
        <v>2423</v>
      </c>
      <c r="F81" s="1976" t="s">
        <v>2260</v>
      </c>
      <c r="G81" s="1976" t="s">
        <v>18</v>
      </c>
      <c r="H81" s="1976" t="s">
        <v>18</v>
      </c>
      <c r="I81" s="1976" t="s">
        <v>684</v>
      </c>
    </row>
    <row r="82" spans="1:9" ht="11.25" customHeight="1">
      <c r="A82" s="1976" t="s">
        <v>2149</v>
      </c>
      <c r="B82" s="1976" t="s">
        <v>14</v>
      </c>
      <c r="C82" s="1976" t="s">
        <v>2424</v>
      </c>
      <c r="D82" s="1976" t="s">
        <v>2425</v>
      </c>
      <c r="E82" s="1976" t="s">
        <v>2426</v>
      </c>
      <c r="F82" s="1976" t="s">
        <v>2251</v>
      </c>
      <c r="G82" s="1976" t="s">
        <v>18</v>
      </c>
      <c r="H82" s="1976" t="s">
        <v>18</v>
      </c>
      <c r="I82" s="1976" t="s">
        <v>684</v>
      </c>
    </row>
    <row r="83" spans="1:9" ht="11.25" customHeight="1">
      <c r="A83" s="1976" t="s">
        <v>2149</v>
      </c>
      <c r="B83" s="1976" t="s">
        <v>14</v>
      </c>
      <c r="C83" s="1976" t="s">
        <v>2427</v>
      </c>
      <c r="D83" s="1976" t="s">
        <v>2428</v>
      </c>
      <c r="E83" s="1976" t="s">
        <v>2429</v>
      </c>
      <c r="F83" s="1976" t="s">
        <v>2430</v>
      </c>
      <c r="G83" s="1976" t="s">
        <v>18</v>
      </c>
      <c r="H83" s="1976" t="s">
        <v>18</v>
      </c>
      <c r="I83" s="1976" t="s">
        <v>684</v>
      </c>
    </row>
    <row r="84" spans="1:9" ht="11.25" customHeight="1">
      <c r="A84" s="1976" t="s">
        <v>2149</v>
      </c>
      <c r="B84" s="1976" t="s">
        <v>14</v>
      </c>
      <c r="C84" s="1976" t="s">
        <v>2431</v>
      </c>
      <c r="D84" s="1976" t="s">
        <v>2432</v>
      </c>
      <c r="E84" s="1976" t="s">
        <v>2433</v>
      </c>
      <c r="F84" s="1976" t="s">
        <v>2186</v>
      </c>
      <c r="G84" s="1976" t="s">
        <v>18</v>
      </c>
      <c r="H84" s="1976" t="s">
        <v>18</v>
      </c>
      <c r="I84" s="1976" t="s">
        <v>684</v>
      </c>
    </row>
    <row r="85" spans="1:9" ht="11.25" customHeight="1">
      <c r="A85" s="1976" t="s">
        <v>2149</v>
      </c>
      <c r="B85" s="1976" t="s">
        <v>14</v>
      </c>
      <c r="C85" s="1976" t="s">
        <v>2434</v>
      </c>
      <c r="D85" s="1976" t="s">
        <v>2435</v>
      </c>
      <c r="E85" s="1976" t="s">
        <v>2436</v>
      </c>
      <c r="F85" s="1976" t="s">
        <v>2365</v>
      </c>
      <c r="G85" s="1976" t="s">
        <v>18</v>
      </c>
      <c r="H85" s="1976" t="s">
        <v>18</v>
      </c>
      <c r="I85" s="1976" t="s">
        <v>684</v>
      </c>
    </row>
    <row r="86" spans="1:9" ht="11.25" customHeight="1">
      <c r="A86" s="1976" t="s">
        <v>2149</v>
      </c>
      <c r="B86" s="1976" t="s">
        <v>14</v>
      </c>
      <c r="C86" s="1976" t="s">
        <v>2437</v>
      </c>
      <c r="D86" s="1976" t="s">
        <v>2438</v>
      </c>
      <c r="E86" s="1976" t="s">
        <v>2439</v>
      </c>
      <c r="F86" s="1976" t="s">
        <v>2236</v>
      </c>
      <c r="G86" s="1976" t="s">
        <v>18</v>
      </c>
      <c r="H86" s="1976" t="s">
        <v>18</v>
      </c>
      <c r="I86" s="1976" t="s">
        <v>684</v>
      </c>
    </row>
    <row r="87" spans="1:9" ht="11.25" customHeight="1">
      <c r="A87" s="1976" t="s">
        <v>2149</v>
      </c>
      <c r="B87" s="1976" t="s">
        <v>14</v>
      </c>
      <c r="C87" s="1976" t="s">
        <v>2440</v>
      </c>
      <c r="D87" s="1976" t="s">
        <v>2441</v>
      </c>
      <c r="E87" s="1976" t="s">
        <v>2442</v>
      </c>
      <c r="F87" s="1976" t="s">
        <v>2179</v>
      </c>
      <c r="G87" s="1976" t="s">
        <v>18</v>
      </c>
      <c r="H87" s="1976" t="s">
        <v>18</v>
      </c>
      <c r="I87" s="1976" t="s">
        <v>684</v>
      </c>
    </row>
    <row r="88" spans="1:9" ht="11.25" customHeight="1">
      <c r="A88" s="1976" t="s">
        <v>2149</v>
      </c>
      <c r="B88" s="1976" t="s">
        <v>14</v>
      </c>
      <c r="C88" s="1976" t="s">
        <v>2443</v>
      </c>
      <c r="D88" s="1976" t="s">
        <v>2444</v>
      </c>
      <c r="E88" s="1976" t="s">
        <v>2445</v>
      </c>
      <c r="F88" s="1976" t="s">
        <v>2186</v>
      </c>
      <c r="G88" s="1976" t="s">
        <v>18</v>
      </c>
      <c r="H88" s="1976" t="s">
        <v>18</v>
      </c>
      <c r="I88" s="1976" t="s">
        <v>684</v>
      </c>
    </row>
    <row r="89" spans="1:9" ht="11.25" customHeight="1">
      <c r="A89" s="1976" t="s">
        <v>2149</v>
      </c>
      <c r="B89" s="1976" t="s">
        <v>14</v>
      </c>
      <c r="C89" s="1976" t="s">
        <v>2446</v>
      </c>
      <c r="D89" s="1976" t="s">
        <v>2447</v>
      </c>
      <c r="E89" s="1976" t="s">
        <v>2448</v>
      </c>
      <c r="F89" s="1976" t="s">
        <v>2186</v>
      </c>
      <c r="G89" s="1976" t="s">
        <v>2449</v>
      </c>
      <c r="H89" s="1976" t="s">
        <v>18</v>
      </c>
      <c r="I89" s="1976" t="s">
        <v>684</v>
      </c>
    </row>
    <row r="90" spans="1:9" ht="11.25" customHeight="1">
      <c r="A90" s="1976" t="s">
        <v>2149</v>
      </c>
      <c r="B90" s="1976" t="s">
        <v>14</v>
      </c>
      <c r="C90" s="1976" t="s">
        <v>2450</v>
      </c>
      <c r="D90" s="1976" t="s">
        <v>2451</v>
      </c>
      <c r="E90" s="1976" t="s">
        <v>2452</v>
      </c>
      <c r="F90" s="1976" t="s">
        <v>2240</v>
      </c>
      <c r="G90" s="1976" t="s">
        <v>18</v>
      </c>
      <c r="H90" s="1976" t="s">
        <v>18</v>
      </c>
      <c r="I90" s="1976" t="s">
        <v>684</v>
      </c>
    </row>
    <row r="91" spans="1:9" ht="11.25" customHeight="1">
      <c r="A91" s="1976" t="s">
        <v>2149</v>
      </c>
      <c r="B91" s="1976" t="s">
        <v>14</v>
      </c>
      <c r="C91" s="1976" t="s">
        <v>2453</v>
      </c>
      <c r="D91" s="1976" t="s">
        <v>2454</v>
      </c>
      <c r="E91" s="1976" t="s">
        <v>2455</v>
      </c>
      <c r="F91" s="1976" t="s">
        <v>2198</v>
      </c>
      <c r="G91" s="1976" t="s">
        <v>18</v>
      </c>
      <c r="H91" s="1976" t="s">
        <v>18</v>
      </c>
      <c r="I91" s="1976" t="s">
        <v>684</v>
      </c>
    </row>
    <row r="92" spans="1:9" ht="11.25" customHeight="1">
      <c r="A92" s="1976" t="s">
        <v>2149</v>
      </c>
      <c r="B92" s="1976" t="s">
        <v>14</v>
      </c>
      <c r="C92" s="1976" t="s">
        <v>2456</v>
      </c>
      <c r="D92" s="1976" t="s">
        <v>2457</v>
      </c>
      <c r="E92" s="1976" t="s">
        <v>2458</v>
      </c>
      <c r="F92" s="1976" t="s">
        <v>2284</v>
      </c>
      <c r="G92" s="1976" t="s">
        <v>18</v>
      </c>
      <c r="H92" s="1976" t="s">
        <v>18</v>
      </c>
      <c r="I92" s="1976" t="s">
        <v>684</v>
      </c>
    </row>
    <row r="93" spans="1:9" ht="11.25" customHeight="1">
      <c r="A93" s="1976" t="s">
        <v>2149</v>
      </c>
      <c r="B93" s="1976" t="s">
        <v>14</v>
      </c>
      <c r="C93" s="1976" t="s">
        <v>2459</v>
      </c>
      <c r="D93" s="1976" t="s">
        <v>2460</v>
      </c>
      <c r="E93" s="1976" t="s">
        <v>2461</v>
      </c>
      <c r="F93" s="1976" t="s">
        <v>2186</v>
      </c>
      <c r="G93" s="1976" t="s">
        <v>18</v>
      </c>
      <c r="H93" s="1976" t="s">
        <v>18</v>
      </c>
      <c r="I93" s="1976" t="s">
        <v>684</v>
      </c>
    </row>
    <row r="94" spans="1:9" ht="11.25" customHeight="1">
      <c r="A94" s="1976" t="s">
        <v>2149</v>
      </c>
      <c r="B94" s="1976" t="s">
        <v>14</v>
      </c>
      <c r="C94" s="1976" t="s">
        <v>2462</v>
      </c>
      <c r="D94" s="1976" t="s">
        <v>2463</v>
      </c>
      <c r="E94" s="1976" t="s">
        <v>2464</v>
      </c>
      <c r="F94" s="1976" t="s">
        <v>2179</v>
      </c>
      <c r="G94" s="1976" t="s">
        <v>18</v>
      </c>
      <c r="H94" s="1976" t="s">
        <v>18</v>
      </c>
      <c r="I94" s="1976" t="s">
        <v>684</v>
      </c>
    </row>
    <row r="95" spans="1:9" ht="11.25" customHeight="1">
      <c r="A95" s="1976" t="s">
        <v>2149</v>
      </c>
      <c r="B95" s="1976" t="s">
        <v>14</v>
      </c>
      <c r="C95" s="1976" t="s">
        <v>2465</v>
      </c>
      <c r="D95" s="1976" t="s">
        <v>2466</v>
      </c>
      <c r="E95" s="1976" t="s">
        <v>2467</v>
      </c>
      <c r="F95" s="1976" t="s">
        <v>2160</v>
      </c>
      <c r="G95" s="1976" t="s">
        <v>18</v>
      </c>
      <c r="H95" s="1976" t="s">
        <v>18</v>
      </c>
      <c r="I95" s="1976" t="s">
        <v>684</v>
      </c>
    </row>
    <row r="96" spans="1:9" ht="11.25" customHeight="1">
      <c r="A96" s="1976" t="s">
        <v>2149</v>
      </c>
      <c r="B96" s="1976" t="s">
        <v>14</v>
      </c>
      <c r="C96" s="1976" t="s">
        <v>2468</v>
      </c>
      <c r="D96" s="1976" t="s">
        <v>2469</v>
      </c>
      <c r="E96" s="1976" t="s">
        <v>2470</v>
      </c>
      <c r="F96" s="1976" t="s">
        <v>2471</v>
      </c>
      <c r="G96" s="1976" t="s">
        <v>18</v>
      </c>
      <c r="H96" s="1976" t="s">
        <v>18</v>
      </c>
      <c r="I96" s="1976" t="s">
        <v>684</v>
      </c>
    </row>
    <row r="97" spans="1:9" ht="11.25" customHeight="1">
      <c r="A97" s="1976" t="s">
        <v>2149</v>
      </c>
      <c r="B97" s="1976" t="s">
        <v>14</v>
      </c>
      <c r="C97" s="1976" t="s">
        <v>2472</v>
      </c>
      <c r="D97" s="1976" t="s">
        <v>2469</v>
      </c>
      <c r="E97" s="1976" t="s">
        <v>2473</v>
      </c>
      <c r="F97" s="1976" t="s">
        <v>2325</v>
      </c>
      <c r="G97" s="1976" t="s">
        <v>18</v>
      </c>
      <c r="H97" s="1976" t="s">
        <v>18</v>
      </c>
      <c r="I97" s="1976" t="s">
        <v>684</v>
      </c>
    </row>
    <row r="98" spans="1:9" ht="11.25" customHeight="1">
      <c r="A98" s="1976" t="s">
        <v>2149</v>
      </c>
      <c r="B98" s="1976" t="s">
        <v>14</v>
      </c>
      <c r="C98" s="1976" t="s">
        <v>2474</v>
      </c>
      <c r="D98" s="1976" t="s">
        <v>2475</v>
      </c>
      <c r="E98" s="1976" t="s">
        <v>2476</v>
      </c>
      <c r="F98" s="1976" t="s">
        <v>2160</v>
      </c>
      <c r="G98" s="1976" t="s">
        <v>2477</v>
      </c>
      <c r="H98" s="1976" t="s">
        <v>18</v>
      </c>
      <c r="I98" s="1976" t="s">
        <v>684</v>
      </c>
    </row>
    <row r="99" spans="1:9" ht="11.25" customHeight="1">
      <c r="A99" s="1976" t="s">
        <v>2149</v>
      </c>
      <c r="B99" s="1976" t="s">
        <v>14</v>
      </c>
      <c r="C99" s="1976" t="s">
        <v>2478</v>
      </c>
      <c r="D99" s="1976" t="s">
        <v>2479</v>
      </c>
      <c r="E99" s="1976" t="s">
        <v>2480</v>
      </c>
      <c r="F99" s="1976" t="s">
        <v>2240</v>
      </c>
      <c r="G99" s="1976" t="s">
        <v>18</v>
      </c>
      <c r="H99" s="1976" t="s">
        <v>18</v>
      </c>
      <c r="I99" s="1976" t="s">
        <v>684</v>
      </c>
    </row>
    <row r="100" spans="1:9" ht="11.25" customHeight="1">
      <c r="A100" s="1976" t="s">
        <v>2149</v>
      </c>
      <c r="B100" s="1976" t="s">
        <v>14</v>
      </c>
      <c r="C100" s="1976" t="s">
        <v>2481</v>
      </c>
      <c r="D100" s="1976" t="s">
        <v>2482</v>
      </c>
      <c r="E100" s="1976" t="s">
        <v>2483</v>
      </c>
      <c r="F100" s="1976" t="s">
        <v>2365</v>
      </c>
      <c r="G100" s="1976" t="s">
        <v>18</v>
      </c>
      <c r="H100" s="1976" t="s">
        <v>18</v>
      </c>
      <c r="I100" s="1976" t="s">
        <v>684</v>
      </c>
    </row>
    <row r="101" spans="1:9" ht="11.25" customHeight="1">
      <c r="A101" s="1976" t="s">
        <v>2149</v>
      </c>
      <c r="B101" s="1976" t="s">
        <v>14</v>
      </c>
      <c r="C101" s="1976" t="s">
        <v>2484</v>
      </c>
      <c r="D101" s="1976" t="s">
        <v>2485</v>
      </c>
      <c r="E101" s="1976" t="s">
        <v>2486</v>
      </c>
      <c r="F101" s="1976" t="s">
        <v>2171</v>
      </c>
      <c r="G101" s="1976" t="s">
        <v>18</v>
      </c>
      <c r="H101" s="1976" t="s">
        <v>18</v>
      </c>
      <c r="I101" s="1976" t="s">
        <v>684</v>
      </c>
    </row>
    <row r="102" spans="1:9" ht="11.25" customHeight="1">
      <c r="A102" s="1976" t="s">
        <v>2149</v>
      </c>
      <c r="B102" s="1976" t="s">
        <v>14</v>
      </c>
      <c r="C102" s="1976" t="s">
        <v>2487</v>
      </c>
      <c r="D102" s="1976" t="s">
        <v>2488</v>
      </c>
      <c r="E102" s="1976" t="s">
        <v>2489</v>
      </c>
      <c r="F102" s="1976" t="s">
        <v>2416</v>
      </c>
      <c r="G102" s="1976" t="s">
        <v>18</v>
      </c>
      <c r="H102" s="1976" t="s">
        <v>18</v>
      </c>
      <c r="I102" s="1976" t="s">
        <v>684</v>
      </c>
    </row>
    <row r="103" spans="1:9" ht="11.25" customHeight="1">
      <c r="A103" s="1976" t="s">
        <v>2149</v>
      </c>
      <c r="B103" s="1976" t="s">
        <v>14</v>
      </c>
      <c r="C103" s="1976" t="s">
        <v>2490</v>
      </c>
      <c r="D103" s="1976" t="s">
        <v>2491</v>
      </c>
      <c r="E103" s="1976" t="s">
        <v>2492</v>
      </c>
      <c r="F103" s="1976" t="s">
        <v>2229</v>
      </c>
      <c r="G103" s="1976" t="s">
        <v>18</v>
      </c>
      <c r="H103" s="1976" t="s">
        <v>18</v>
      </c>
      <c r="I103" s="1976" t="s">
        <v>684</v>
      </c>
    </row>
    <row r="104" spans="1:9" ht="11.25" customHeight="1">
      <c r="A104" s="1976" t="s">
        <v>2149</v>
      </c>
      <c r="B104" s="1976" t="s">
        <v>14</v>
      </c>
      <c r="C104" s="1976" t="s">
        <v>2493</v>
      </c>
      <c r="D104" s="1976" t="s">
        <v>2494</v>
      </c>
      <c r="E104" s="1976" t="s">
        <v>2495</v>
      </c>
      <c r="F104" s="1976" t="s">
        <v>2496</v>
      </c>
      <c r="G104" s="1976" t="s">
        <v>18</v>
      </c>
      <c r="H104" s="1976" t="s">
        <v>18</v>
      </c>
      <c r="I104" s="1976" t="s">
        <v>684</v>
      </c>
    </row>
    <row r="105" spans="1:9" ht="11.25" customHeight="1">
      <c r="A105" s="1976" t="s">
        <v>2149</v>
      </c>
      <c r="B105" s="1976" t="s">
        <v>14</v>
      </c>
      <c r="C105" s="1976" t="s">
        <v>2497</v>
      </c>
      <c r="D105" s="1976" t="s">
        <v>2498</v>
      </c>
      <c r="E105" s="1976" t="s">
        <v>2499</v>
      </c>
      <c r="F105" s="1976" t="s">
        <v>2500</v>
      </c>
      <c r="G105" s="1976" t="s">
        <v>18</v>
      </c>
      <c r="H105" s="1976" t="s">
        <v>18</v>
      </c>
      <c r="I105" s="1976" t="s">
        <v>684</v>
      </c>
    </row>
    <row r="106" spans="1:9" ht="11.25" customHeight="1">
      <c r="A106" s="1976" t="s">
        <v>2149</v>
      </c>
      <c r="B106" s="1976" t="s">
        <v>14</v>
      </c>
      <c r="C106" s="1976" t="s">
        <v>2501</v>
      </c>
      <c r="D106" s="1976" t="s">
        <v>2502</v>
      </c>
      <c r="E106" s="1976" t="s">
        <v>2503</v>
      </c>
      <c r="F106" s="1976" t="s">
        <v>2186</v>
      </c>
      <c r="G106" s="1976" t="s">
        <v>18</v>
      </c>
      <c r="H106" s="1976" t="s">
        <v>18</v>
      </c>
      <c r="I106" s="1976" t="s">
        <v>684</v>
      </c>
    </row>
    <row r="107" spans="1:9" ht="11.25" customHeight="1">
      <c r="A107" s="1976" t="s">
        <v>2149</v>
      </c>
      <c r="B107" s="1976" t="s">
        <v>14</v>
      </c>
      <c r="C107" s="1976" t="s">
        <v>2504</v>
      </c>
      <c r="D107" s="1976" t="s">
        <v>2505</v>
      </c>
      <c r="E107" s="1976" t="s">
        <v>2506</v>
      </c>
      <c r="F107" s="1976" t="s">
        <v>2507</v>
      </c>
      <c r="G107" s="1976" t="s">
        <v>18</v>
      </c>
      <c r="H107" s="1976" t="s">
        <v>18</v>
      </c>
      <c r="I107" s="1976" t="s">
        <v>684</v>
      </c>
    </row>
    <row r="108" spans="1:9" ht="11.25" customHeight="1">
      <c r="A108" s="1976" t="s">
        <v>2149</v>
      </c>
      <c r="B108" s="1976" t="s">
        <v>14</v>
      </c>
      <c r="C108" s="1976" t="s">
        <v>2508</v>
      </c>
      <c r="D108" s="1976" t="s">
        <v>2509</v>
      </c>
      <c r="E108" s="1976" t="s">
        <v>2510</v>
      </c>
      <c r="F108" s="1976" t="s">
        <v>2260</v>
      </c>
      <c r="G108" s="1976" t="s">
        <v>18</v>
      </c>
      <c r="H108" s="1976" t="s">
        <v>18</v>
      </c>
      <c r="I108" s="1976" t="s">
        <v>684</v>
      </c>
    </row>
    <row r="109" spans="1:9" ht="11.25" customHeight="1">
      <c r="A109" s="1976" t="s">
        <v>2149</v>
      </c>
      <c r="B109" s="1976" t="s">
        <v>14</v>
      </c>
      <c r="C109" s="1976" t="s">
        <v>2511</v>
      </c>
      <c r="D109" s="1976" t="s">
        <v>2512</v>
      </c>
      <c r="E109" s="1976" t="s">
        <v>2513</v>
      </c>
      <c r="F109" s="1976" t="s">
        <v>2179</v>
      </c>
      <c r="G109" s="1976" t="s">
        <v>18</v>
      </c>
      <c r="H109" s="1976" t="s">
        <v>18</v>
      </c>
      <c r="I109" s="1976" t="s">
        <v>684</v>
      </c>
    </row>
    <row r="110" spans="1:9" ht="11.25" customHeight="1">
      <c r="A110" s="1976" t="s">
        <v>2149</v>
      </c>
      <c r="B110" s="1976" t="s">
        <v>14</v>
      </c>
      <c r="C110" s="1976" t="s">
        <v>2514</v>
      </c>
      <c r="D110" s="1976" t="s">
        <v>2515</v>
      </c>
      <c r="E110" s="1976" t="s">
        <v>2516</v>
      </c>
      <c r="F110" s="1976" t="s">
        <v>2496</v>
      </c>
      <c r="G110" s="1976" t="s">
        <v>2517</v>
      </c>
      <c r="H110" s="1976" t="s">
        <v>18</v>
      </c>
      <c r="I110" s="1976" t="s">
        <v>684</v>
      </c>
    </row>
    <row r="111" spans="1:9" ht="11.25" customHeight="1">
      <c r="A111" s="1976" t="s">
        <v>2149</v>
      </c>
      <c r="B111" s="1976" t="s">
        <v>14</v>
      </c>
      <c r="C111" s="1976" t="s">
        <v>2518</v>
      </c>
      <c r="D111" s="1976" t="s">
        <v>2519</v>
      </c>
      <c r="E111" s="1976" t="s">
        <v>2520</v>
      </c>
      <c r="F111" s="1976" t="s">
        <v>2521</v>
      </c>
      <c r="G111" s="1976" t="s">
        <v>18</v>
      </c>
      <c r="H111" s="1976" t="s">
        <v>18</v>
      </c>
      <c r="I111" s="1976" t="s">
        <v>684</v>
      </c>
    </row>
    <row r="112" spans="1:9" ht="11.25" customHeight="1">
      <c r="A112" s="1976" t="s">
        <v>2149</v>
      </c>
      <c r="B112" s="1976" t="s">
        <v>14</v>
      </c>
      <c r="C112" s="1976" t="s">
        <v>2522</v>
      </c>
      <c r="D112" s="1976" t="s">
        <v>2523</v>
      </c>
      <c r="E112" s="1976" t="s">
        <v>2524</v>
      </c>
      <c r="F112" s="1976" t="s">
        <v>2525</v>
      </c>
      <c r="G112" s="1976" t="s">
        <v>18</v>
      </c>
      <c r="H112" s="1976" t="s">
        <v>18</v>
      </c>
      <c r="I112" s="1976" t="s">
        <v>684</v>
      </c>
    </row>
    <row r="113" spans="1:9" ht="11.25" customHeight="1">
      <c r="A113" s="1976" t="s">
        <v>2149</v>
      </c>
      <c r="B113" s="1976" t="s">
        <v>14</v>
      </c>
      <c r="C113" s="1976" t="s">
        <v>2155</v>
      </c>
      <c r="D113" s="1976" t="s">
        <v>2151</v>
      </c>
      <c r="E113" s="1976" t="s">
        <v>2152</v>
      </c>
      <c r="F113" s="1976" t="s">
        <v>2156</v>
      </c>
      <c r="G113" s="1976" t="s">
        <v>18</v>
      </c>
      <c r="H113" s="1976" t="s">
        <v>18</v>
      </c>
      <c r="I113" s="1976" t="s">
        <v>768</v>
      </c>
    </row>
    <row r="114" spans="1:9" ht="11.25" customHeight="1">
      <c r="A114" s="1976" t="s">
        <v>2149</v>
      </c>
      <c r="B114" s="1976" t="s">
        <v>14</v>
      </c>
      <c r="C114" s="1976" t="s">
        <v>2161</v>
      </c>
      <c r="D114" s="1976" t="s">
        <v>2162</v>
      </c>
      <c r="E114" s="1976" t="s">
        <v>2163</v>
      </c>
      <c r="F114" s="1976" t="s">
        <v>2160</v>
      </c>
      <c r="G114" s="1976" t="s">
        <v>18</v>
      </c>
      <c r="H114" s="1976" t="s">
        <v>18</v>
      </c>
      <c r="I114" s="1976" t="s">
        <v>768</v>
      </c>
    </row>
    <row r="115" spans="1:9" ht="11.25" customHeight="1">
      <c r="A115" s="1976" t="s">
        <v>2149</v>
      </c>
      <c r="B115" s="1976" t="s">
        <v>14</v>
      </c>
      <c r="C115" s="1976" t="s">
        <v>2164</v>
      </c>
      <c r="D115" s="1976" t="s">
        <v>2165</v>
      </c>
      <c r="E115" s="1976" t="s">
        <v>2166</v>
      </c>
      <c r="F115" s="1976" t="s">
        <v>2167</v>
      </c>
      <c r="G115" s="1976" t="s">
        <v>18</v>
      </c>
      <c r="H115" s="1976" t="s">
        <v>18</v>
      </c>
      <c r="I115" s="1976" t="s">
        <v>768</v>
      </c>
    </row>
    <row r="116" spans="1:9" ht="11.25" customHeight="1">
      <c r="A116" s="1976" t="s">
        <v>2149</v>
      </c>
      <c r="B116" s="1976" t="s">
        <v>14</v>
      </c>
      <c r="C116" s="1976" t="s">
        <v>2172</v>
      </c>
      <c r="D116" s="1976" t="s">
        <v>2173</v>
      </c>
      <c r="E116" s="1976" t="s">
        <v>2174</v>
      </c>
      <c r="F116" s="1976" t="s">
        <v>2175</v>
      </c>
      <c r="G116" s="1976" t="s">
        <v>18</v>
      </c>
      <c r="H116" s="1976" t="s">
        <v>18</v>
      </c>
      <c r="I116" s="1976" t="s">
        <v>768</v>
      </c>
    </row>
    <row r="117" spans="1:9" ht="11.25" customHeight="1">
      <c r="A117" s="1976" t="s">
        <v>2149</v>
      </c>
      <c r="B117" s="1976" t="s">
        <v>14</v>
      </c>
      <c r="C117" s="1976" t="s">
        <v>2176</v>
      </c>
      <c r="D117" s="1976" t="s">
        <v>2177</v>
      </c>
      <c r="E117" s="1976" t="s">
        <v>2178</v>
      </c>
      <c r="F117" s="1976" t="s">
        <v>2179</v>
      </c>
      <c r="G117" s="1976" t="s">
        <v>18</v>
      </c>
      <c r="H117" s="1976" t="s">
        <v>18</v>
      </c>
      <c r="I117" s="1976" t="s">
        <v>768</v>
      </c>
    </row>
    <row r="118" spans="1:9" ht="11.25" customHeight="1">
      <c r="A118" s="1976" t="s">
        <v>2149</v>
      </c>
      <c r="B118" s="1976" t="s">
        <v>14</v>
      </c>
      <c r="C118" s="1976" t="s">
        <v>2180</v>
      </c>
      <c r="D118" s="1976" t="s">
        <v>2181</v>
      </c>
      <c r="E118" s="1976" t="s">
        <v>2166</v>
      </c>
      <c r="F118" s="1976" t="s">
        <v>2182</v>
      </c>
      <c r="G118" s="1976" t="s">
        <v>18</v>
      </c>
      <c r="H118" s="1976" t="s">
        <v>18</v>
      </c>
      <c r="I118" s="1976" t="s">
        <v>768</v>
      </c>
    </row>
    <row r="119" spans="1:9" ht="11.25" customHeight="1">
      <c r="A119" s="1976" t="s">
        <v>2149</v>
      </c>
      <c r="B119" s="1976" t="s">
        <v>14</v>
      </c>
      <c r="C119" s="1976" t="s">
        <v>2195</v>
      </c>
      <c r="D119" s="1976" t="s">
        <v>2196</v>
      </c>
      <c r="E119" s="1976" t="s">
        <v>2197</v>
      </c>
      <c r="F119" s="1976" t="s">
        <v>2198</v>
      </c>
      <c r="G119" s="1976" t="s">
        <v>18</v>
      </c>
      <c r="H119" s="1976" t="s">
        <v>18</v>
      </c>
      <c r="I119" s="1976" t="s">
        <v>768</v>
      </c>
    </row>
    <row r="120" spans="1:9" ht="11.25" customHeight="1">
      <c r="A120" s="1976" t="s">
        <v>2149</v>
      </c>
      <c r="B120" s="1976" t="s">
        <v>14</v>
      </c>
      <c r="C120" s="1976" t="s">
        <v>2207</v>
      </c>
      <c r="D120" s="1976" t="s">
        <v>2208</v>
      </c>
      <c r="E120" s="1976" t="s">
        <v>2209</v>
      </c>
      <c r="F120" s="1976" t="s">
        <v>2210</v>
      </c>
      <c r="G120" s="1976" t="s">
        <v>18</v>
      </c>
      <c r="H120" s="1976" t="s">
        <v>18</v>
      </c>
      <c r="I120" s="1976" t="s">
        <v>768</v>
      </c>
    </row>
    <row r="121" spans="1:9" ht="11.25" customHeight="1">
      <c r="A121" s="1976" t="s">
        <v>2149</v>
      </c>
      <c r="B121" s="1976" t="s">
        <v>14</v>
      </c>
      <c r="C121" s="1976" t="s">
        <v>2223</v>
      </c>
      <c r="D121" s="1976" t="s">
        <v>2224</v>
      </c>
      <c r="E121" s="1976" t="s">
        <v>2225</v>
      </c>
      <c r="F121" s="1976" t="s">
        <v>2179</v>
      </c>
      <c r="G121" s="1976" t="s">
        <v>18</v>
      </c>
      <c r="H121" s="1976" t="s">
        <v>18</v>
      </c>
      <c r="I121" s="1976" t="s">
        <v>768</v>
      </c>
    </row>
    <row r="122" spans="1:9" ht="11.25" customHeight="1">
      <c r="A122" s="1976" t="s">
        <v>2149</v>
      </c>
      <c r="B122" s="1976" t="s">
        <v>14</v>
      </c>
      <c r="C122" s="1976" t="s">
        <v>2226</v>
      </c>
      <c r="D122" s="1976" t="s">
        <v>2227</v>
      </c>
      <c r="E122" s="1976" t="s">
        <v>2228</v>
      </c>
      <c r="F122" s="1976" t="s">
        <v>2229</v>
      </c>
      <c r="G122" s="1976" t="s">
        <v>18</v>
      </c>
      <c r="H122" s="1976" t="s">
        <v>18</v>
      </c>
      <c r="I122" s="1976" t="s">
        <v>768</v>
      </c>
    </row>
    <row r="123" spans="1:9" ht="11.25" customHeight="1">
      <c r="A123" s="1976" t="s">
        <v>2149</v>
      </c>
      <c r="B123" s="1976" t="s">
        <v>14</v>
      </c>
      <c r="C123" s="1976" t="s">
        <v>2230</v>
      </c>
      <c r="D123" s="1976" t="s">
        <v>2231</v>
      </c>
      <c r="E123" s="1976" t="s">
        <v>2232</v>
      </c>
      <c r="F123" s="1976" t="s">
        <v>2179</v>
      </c>
      <c r="G123" s="1976" t="s">
        <v>18</v>
      </c>
      <c r="H123" s="1976" t="s">
        <v>18</v>
      </c>
      <c r="I123" s="1976" t="s">
        <v>768</v>
      </c>
    </row>
    <row r="124" spans="1:9" ht="11.25" customHeight="1">
      <c r="A124" s="1976" t="s">
        <v>2149</v>
      </c>
      <c r="B124" s="1976" t="s">
        <v>14</v>
      </c>
      <c r="C124" s="1976" t="s">
        <v>2248</v>
      </c>
      <c r="D124" s="1976" t="s">
        <v>2249</v>
      </c>
      <c r="E124" s="1976" t="s">
        <v>2250</v>
      </c>
      <c r="F124" s="1976" t="s">
        <v>2251</v>
      </c>
      <c r="G124" s="1976" t="s">
        <v>2252</v>
      </c>
      <c r="H124" s="1976" t="s">
        <v>18</v>
      </c>
      <c r="I124" s="1976" t="s">
        <v>768</v>
      </c>
    </row>
    <row r="125" spans="1:9" ht="11.25" customHeight="1">
      <c r="A125" s="1976" t="s">
        <v>2149</v>
      </c>
      <c r="B125" s="1976" t="s">
        <v>14</v>
      </c>
      <c r="C125" s="1976" t="s">
        <v>2257</v>
      </c>
      <c r="D125" s="1976" t="s">
        <v>2258</v>
      </c>
      <c r="E125" s="1976" t="s">
        <v>2259</v>
      </c>
      <c r="F125" s="1976" t="s">
        <v>2260</v>
      </c>
      <c r="G125" s="1976" t="s">
        <v>2261</v>
      </c>
      <c r="H125" s="1976" t="s">
        <v>18</v>
      </c>
      <c r="I125" s="1976" t="s">
        <v>768</v>
      </c>
    </row>
    <row r="126" spans="1:9" ht="11.25" customHeight="1">
      <c r="A126" s="1976" t="s">
        <v>2149</v>
      </c>
      <c r="B126" s="1976" t="s">
        <v>14</v>
      </c>
      <c r="C126" s="1976" t="s">
        <v>2262</v>
      </c>
      <c r="D126" s="1976" t="s">
        <v>2258</v>
      </c>
      <c r="E126" s="1976" t="s">
        <v>2263</v>
      </c>
      <c r="F126" s="1976" t="s">
        <v>2264</v>
      </c>
      <c r="G126" s="1976" t="s">
        <v>18</v>
      </c>
      <c r="H126" s="1976" t="s">
        <v>18</v>
      </c>
      <c r="I126" s="1976" t="s">
        <v>768</v>
      </c>
    </row>
    <row r="127" spans="1:9" ht="11.25" customHeight="1">
      <c r="A127" s="1976" t="s">
        <v>2149</v>
      </c>
      <c r="B127" s="1976" t="s">
        <v>14</v>
      </c>
      <c r="C127" s="1976" t="s">
        <v>2265</v>
      </c>
      <c r="D127" s="1976" t="s">
        <v>2266</v>
      </c>
      <c r="E127" s="1976" t="s">
        <v>2267</v>
      </c>
      <c r="F127" s="1976" t="s">
        <v>2160</v>
      </c>
      <c r="G127" s="1976" t="s">
        <v>18</v>
      </c>
      <c r="H127" s="1976" t="s">
        <v>18</v>
      </c>
      <c r="I127" s="1976" t="s">
        <v>768</v>
      </c>
    </row>
    <row r="128" spans="1:9" ht="11.25" customHeight="1">
      <c r="A128" s="1976" t="s">
        <v>2149</v>
      </c>
      <c r="B128" s="1976" t="s">
        <v>14</v>
      </c>
      <c r="C128" s="1976" t="s">
        <v>2274</v>
      </c>
      <c r="D128" s="1976" t="s">
        <v>2275</v>
      </c>
      <c r="E128" s="1976" t="s">
        <v>2276</v>
      </c>
      <c r="F128" s="1976" t="s">
        <v>2229</v>
      </c>
      <c r="G128" s="1976" t="s">
        <v>18</v>
      </c>
      <c r="H128" s="1976" t="s">
        <v>18</v>
      </c>
      <c r="I128" s="1976" t="s">
        <v>768</v>
      </c>
    </row>
    <row r="129" spans="1:9" ht="11.25" customHeight="1">
      <c r="A129" s="1976" t="s">
        <v>2149</v>
      </c>
      <c r="B129" s="1976" t="s">
        <v>14</v>
      </c>
      <c r="C129" s="1976" t="s">
        <v>2291</v>
      </c>
      <c r="D129" s="1976" t="s">
        <v>2292</v>
      </c>
      <c r="E129" s="1976" t="s">
        <v>2293</v>
      </c>
      <c r="F129" s="1976" t="s">
        <v>2294</v>
      </c>
      <c r="G129" s="1976" t="s">
        <v>18</v>
      </c>
      <c r="H129" s="1976" t="s">
        <v>18</v>
      </c>
      <c r="I129" s="1976" t="s">
        <v>768</v>
      </c>
    </row>
    <row r="130" spans="1:9" ht="11.25" customHeight="1">
      <c r="A130" s="1976" t="s">
        <v>2149</v>
      </c>
      <c r="B130" s="1976" t="s">
        <v>14</v>
      </c>
      <c r="C130" s="1976" t="s">
        <v>2309</v>
      </c>
      <c r="D130" s="1976" t="s">
        <v>2310</v>
      </c>
      <c r="E130" s="1976" t="s">
        <v>2311</v>
      </c>
      <c r="F130" s="1976" t="s">
        <v>2236</v>
      </c>
      <c r="G130" s="1976" t="s">
        <v>18</v>
      </c>
      <c r="H130" s="1976" t="s">
        <v>18</v>
      </c>
      <c r="I130" s="1976" t="s">
        <v>768</v>
      </c>
    </row>
    <row r="131" spans="1:9" ht="11.25" customHeight="1">
      <c r="A131" s="1976" t="s">
        <v>2149</v>
      </c>
      <c r="B131" s="1976" t="s">
        <v>14</v>
      </c>
      <c r="C131" s="1976" t="s">
        <v>2312</v>
      </c>
      <c r="D131" s="1976" t="s">
        <v>2313</v>
      </c>
      <c r="E131" s="1976" t="s">
        <v>2314</v>
      </c>
      <c r="F131" s="1976" t="s">
        <v>2186</v>
      </c>
      <c r="G131" s="1976" t="s">
        <v>18</v>
      </c>
      <c r="H131" s="1976" t="s">
        <v>18</v>
      </c>
      <c r="I131" s="1976" t="s">
        <v>768</v>
      </c>
    </row>
    <row r="132" spans="1:9" ht="11.25" customHeight="1">
      <c r="A132" s="1976" t="s">
        <v>2149</v>
      </c>
      <c r="B132" s="1976" t="s">
        <v>14</v>
      </c>
      <c r="C132" s="1976" t="s">
        <v>2318</v>
      </c>
      <c r="D132" s="1976" t="s">
        <v>2319</v>
      </c>
      <c r="E132" s="1976" t="s">
        <v>2320</v>
      </c>
      <c r="F132" s="1976" t="s">
        <v>2264</v>
      </c>
      <c r="G132" s="1976" t="s">
        <v>18</v>
      </c>
      <c r="H132" s="1976" t="s">
        <v>2321</v>
      </c>
      <c r="I132" s="1976" t="s">
        <v>768</v>
      </c>
    </row>
    <row r="133" spans="1:9" ht="11.25" customHeight="1">
      <c r="A133" s="1976" t="s">
        <v>2149</v>
      </c>
      <c r="B133" s="1976" t="s">
        <v>14</v>
      </c>
      <c r="C133" s="1976" t="s">
        <v>2332</v>
      </c>
      <c r="D133" s="1976" t="s">
        <v>2333</v>
      </c>
      <c r="E133" s="1976" t="s">
        <v>2334</v>
      </c>
      <c r="F133" s="1976" t="s">
        <v>2229</v>
      </c>
      <c r="G133" s="1976" t="s">
        <v>18</v>
      </c>
      <c r="H133" s="1976" t="s">
        <v>18</v>
      </c>
      <c r="I133" s="1976" t="s">
        <v>768</v>
      </c>
    </row>
    <row r="134" spans="1:9" ht="11.25" customHeight="1">
      <c r="A134" s="1976" t="s">
        <v>2149</v>
      </c>
      <c r="B134" s="1976" t="s">
        <v>14</v>
      </c>
      <c r="C134" s="1976" t="s">
        <v>2338</v>
      </c>
      <c r="D134" s="1976" t="s">
        <v>2339</v>
      </c>
      <c r="E134" s="1976" t="s">
        <v>2340</v>
      </c>
      <c r="F134" s="1976" t="s">
        <v>2229</v>
      </c>
      <c r="G134" s="1976" t="s">
        <v>2341</v>
      </c>
      <c r="H134" s="1976" t="s">
        <v>18</v>
      </c>
      <c r="I134" s="1976" t="s">
        <v>768</v>
      </c>
    </row>
    <row r="135" spans="1:9" ht="11.25" customHeight="1">
      <c r="A135" s="1976" t="s">
        <v>2149</v>
      </c>
      <c r="B135" s="1976" t="s">
        <v>14</v>
      </c>
      <c r="C135" s="1976" t="s">
        <v>2369</v>
      </c>
      <c r="D135" s="1976" t="s">
        <v>2370</v>
      </c>
      <c r="E135" s="1976" t="s">
        <v>2371</v>
      </c>
      <c r="F135" s="1976" t="s">
        <v>2229</v>
      </c>
      <c r="G135" s="1976" t="s">
        <v>18</v>
      </c>
      <c r="H135" s="1976" t="s">
        <v>18</v>
      </c>
      <c r="I135" s="1976" t="s">
        <v>768</v>
      </c>
    </row>
    <row r="136" spans="1:9" ht="11.25" customHeight="1">
      <c r="A136" s="1976" t="s">
        <v>2149</v>
      </c>
      <c r="B136" s="1976" t="s">
        <v>14</v>
      </c>
      <c r="C136" s="1976" t="s">
        <v>2372</v>
      </c>
      <c r="D136" s="1976" t="s">
        <v>2373</v>
      </c>
      <c r="E136" s="1976" t="s">
        <v>2374</v>
      </c>
      <c r="F136" s="1976" t="s">
        <v>2160</v>
      </c>
      <c r="G136" s="1976" t="s">
        <v>18</v>
      </c>
      <c r="H136" s="1976" t="s">
        <v>18</v>
      </c>
      <c r="I136" s="1976" t="s">
        <v>768</v>
      </c>
    </row>
    <row r="137" spans="1:9" ht="11.25" customHeight="1">
      <c r="A137" s="1976" t="s">
        <v>2149</v>
      </c>
      <c r="B137" s="1976" t="s">
        <v>14</v>
      </c>
      <c r="C137" s="1976" t="s">
        <v>2375</v>
      </c>
      <c r="D137" s="1976" t="s">
        <v>2376</v>
      </c>
      <c r="E137" s="1976" t="s">
        <v>2377</v>
      </c>
      <c r="F137" s="1976" t="s">
        <v>2264</v>
      </c>
      <c r="G137" s="1976" t="s">
        <v>18</v>
      </c>
      <c r="H137" s="1976" t="s">
        <v>2378</v>
      </c>
      <c r="I137" s="1976" t="s">
        <v>768</v>
      </c>
    </row>
    <row r="138" spans="1:9" ht="11.25" customHeight="1">
      <c r="A138" s="1976" t="s">
        <v>2149</v>
      </c>
      <c r="B138" s="1976" t="s">
        <v>14</v>
      </c>
      <c r="C138" s="1976" t="s">
        <v>2394</v>
      </c>
      <c r="D138" s="1976" t="s">
        <v>2395</v>
      </c>
      <c r="E138" s="1976" t="s">
        <v>2396</v>
      </c>
      <c r="F138" s="1976" t="s">
        <v>2229</v>
      </c>
      <c r="G138" s="1976" t="s">
        <v>18</v>
      </c>
      <c r="H138" s="1976" t="s">
        <v>18</v>
      </c>
      <c r="I138" s="1976" t="s">
        <v>768</v>
      </c>
    </row>
    <row r="139" spans="1:9" ht="11.25" customHeight="1">
      <c r="A139" s="1976" t="s">
        <v>2149</v>
      </c>
      <c r="B139" s="1976" t="s">
        <v>14</v>
      </c>
      <c r="C139" s="1976" t="s">
        <v>2397</v>
      </c>
      <c r="D139" s="1976" t="s">
        <v>2398</v>
      </c>
      <c r="E139" s="1976" t="s">
        <v>2399</v>
      </c>
      <c r="F139" s="1976" t="s">
        <v>2264</v>
      </c>
      <c r="G139" s="1976" t="s">
        <v>18</v>
      </c>
      <c r="H139" s="1976" t="s">
        <v>18</v>
      </c>
      <c r="I139" s="1976" t="s">
        <v>768</v>
      </c>
    </row>
    <row r="140" spans="1:9" ht="11.25" customHeight="1">
      <c r="A140" s="1976" t="s">
        <v>2149</v>
      </c>
      <c r="B140" s="1976" t="s">
        <v>14</v>
      </c>
      <c r="C140" s="1976" t="s">
        <v>2403</v>
      </c>
      <c r="D140" s="1976" t="s">
        <v>2404</v>
      </c>
      <c r="E140" s="1976" t="s">
        <v>2405</v>
      </c>
      <c r="F140" s="1976" t="s">
        <v>2186</v>
      </c>
      <c r="G140" s="1976" t="s">
        <v>18</v>
      </c>
      <c r="H140" s="1976" t="s">
        <v>18</v>
      </c>
      <c r="I140" s="1976" t="s">
        <v>768</v>
      </c>
    </row>
    <row r="141" spans="1:9" ht="11.25" customHeight="1">
      <c r="A141" s="1976" t="s">
        <v>2149</v>
      </c>
      <c r="B141" s="1976" t="s">
        <v>14</v>
      </c>
      <c r="C141" s="1976" t="s">
        <v>2406</v>
      </c>
      <c r="D141" s="1976" t="s">
        <v>2407</v>
      </c>
      <c r="E141" s="1976" t="s">
        <v>2408</v>
      </c>
      <c r="F141" s="1976" t="s">
        <v>2160</v>
      </c>
      <c r="G141" s="1976" t="s">
        <v>18</v>
      </c>
      <c r="H141" s="1976" t="s">
        <v>18</v>
      </c>
      <c r="I141" s="1976" t="s">
        <v>768</v>
      </c>
    </row>
    <row r="142" spans="1:9" ht="11.25" customHeight="1">
      <c r="A142" s="1976" t="s">
        <v>2149</v>
      </c>
      <c r="B142" s="1976" t="s">
        <v>14</v>
      </c>
      <c r="C142" s="1976" t="s">
        <v>2413</v>
      </c>
      <c r="D142" s="1976" t="s">
        <v>2414</v>
      </c>
      <c r="E142" s="1976" t="s">
        <v>2415</v>
      </c>
      <c r="F142" s="1976" t="s">
        <v>2416</v>
      </c>
      <c r="G142" s="1976" t="s">
        <v>18</v>
      </c>
      <c r="H142" s="1976" t="s">
        <v>18</v>
      </c>
      <c r="I142" s="1976" t="s">
        <v>768</v>
      </c>
    </row>
    <row r="143" spans="1:9" ht="11.25" customHeight="1">
      <c r="A143" s="1976" t="s">
        <v>2149</v>
      </c>
      <c r="B143" s="1976" t="s">
        <v>14</v>
      </c>
      <c r="C143" s="1976" t="s">
        <v>2417</v>
      </c>
      <c r="D143" s="1976" t="s">
        <v>2418</v>
      </c>
      <c r="E143" s="1976" t="s">
        <v>2419</v>
      </c>
      <c r="F143" s="1976" t="s">
        <v>2420</v>
      </c>
      <c r="G143" s="1976" t="s">
        <v>18</v>
      </c>
      <c r="H143" s="1976" t="s">
        <v>18</v>
      </c>
      <c r="I143" s="1976" t="s">
        <v>768</v>
      </c>
    </row>
    <row r="144" spans="1:9" ht="11.25" customHeight="1">
      <c r="A144" s="1976" t="s">
        <v>2149</v>
      </c>
      <c r="B144" s="1976" t="s">
        <v>14</v>
      </c>
      <c r="C144" s="1976" t="s">
        <v>2421</v>
      </c>
      <c r="D144" s="1976" t="s">
        <v>2422</v>
      </c>
      <c r="E144" s="1976" t="s">
        <v>2423</v>
      </c>
      <c r="F144" s="1976" t="s">
        <v>2260</v>
      </c>
      <c r="G144" s="1976" t="s">
        <v>18</v>
      </c>
      <c r="H144" s="1976" t="s">
        <v>18</v>
      </c>
      <c r="I144" s="1976" t="s">
        <v>768</v>
      </c>
    </row>
    <row r="145" spans="1:9" ht="11.25" customHeight="1">
      <c r="A145" s="1976" t="s">
        <v>2149</v>
      </c>
      <c r="B145" s="1976" t="s">
        <v>14</v>
      </c>
      <c r="C145" s="1976" t="s">
        <v>2431</v>
      </c>
      <c r="D145" s="1976" t="s">
        <v>2432</v>
      </c>
      <c r="E145" s="1976" t="s">
        <v>2433</v>
      </c>
      <c r="F145" s="1976" t="s">
        <v>2186</v>
      </c>
      <c r="G145" s="1976" t="s">
        <v>18</v>
      </c>
      <c r="H145" s="1976" t="s">
        <v>18</v>
      </c>
      <c r="I145" s="1976" t="s">
        <v>768</v>
      </c>
    </row>
    <row r="146" spans="1:9" ht="11.25" customHeight="1">
      <c r="A146" s="1976" t="s">
        <v>2149</v>
      </c>
      <c r="B146" s="1976" t="s">
        <v>14</v>
      </c>
      <c r="C146" s="1976" t="s">
        <v>2437</v>
      </c>
      <c r="D146" s="1976" t="s">
        <v>2438</v>
      </c>
      <c r="E146" s="1976" t="s">
        <v>2439</v>
      </c>
      <c r="F146" s="1976" t="s">
        <v>2236</v>
      </c>
      <c r="G146" s="1976" t="s">
        <v>18</v>
      </c>
      <c r="H146" s="1976" t="s">
        <v>18</v>
      </c>
      <c r="I146" s="1976" t="s">
        <v>768</v>
      </c>
    </row>
    <row r="147" spans="1:9" ht="11.25" customHeight="1">
      <c r="A147" s="1976" t="s">
        <v>2149</v>
      </c>
      <c r="B147" s="1976" t="s">
        <v>14</v>
      </c>
      <c r="C147" s="1976" t="s">
        <v>2440</v>
      </c>
      <c r="D147" s="1976" t="s">
        <v>2441</v>
      </c>
      <c r="E147" s="1976" t="s">
        <v>2442</v>
      </c>
      <c r="F147" s="1976" t="s">
        <v>2179</v>
      </c>
      <c r="G147" s="1976" t="s">
        <v>18</v>
      </c>
      <c r="H147" s="1976" t="s">
        <v>18</v>
      </c>
      <c r="I147" s="1976" t="s">
        <v>768</v>
      </c>
    </row>
    <row r="148" spans="1:9" ht="11.25" customHeight="1">
      <c r="A148" s="1976" t="s">
        <v>2149</v>
      </c>
      <c r="B148" s="1976" t="s">
        <v>14</v>
      </c>
      <c r="C148" s="1976" t="s">
        <v>2443</v>
      </c>
      <c r="D148" s="1976" t="s">
        <v>2444</v>
      </c>
      <c r="E148" s="1976" t="s">
        <v>2445</v>
      </c>
      <c r="F148" s="1976" t="s">
        <v>2186</v>
      </c>
      <c r="G148" s="1976" t="s">
        <v>18</v>
      </c>
      <c r="H148" s="1976" t="s">
        <v>18</v>
      </c>
      <c r="I148" s="1976" t="s">
        <v>768</v>
      </c>
    </row>
    <row r="149" spans="1:9" ht="11.25" customHeight="1">
      <c r="A149" s="1976" t="s">
        <v>2149</v>
      </c>
      <c r="B149" s="1976" t="s">
        <v>14</v>
      </c>
      <c r="C149" s="1976" t="s">
        <v>2446</v>
      </c>
      <c r="D149" s="1976" t="s">
        <v>2447</v>
      </c>
      <c r="E149" s="1976" t="s">
        <v>2448</v>
      </c>
      <c r="F149" s="1976" t="s">
        <v>2186</v>
      </c>
      <c r="G149" s="1976" t="s">
        <v>2449</v>
      </c>
      <c r="H149" s="1976" t="s">
        <v>18</v>
      </c>
      <c r="I149" s="1976" t="s">
        <v>768</v>
      </c>
    </row>
    <row r="150" spans="1:9" ht="11.25" customHeight="1">
      <c r="A150" s="1976" t="s">
        <v>2149</v>
      </c>
      <c r="B150" s="1976" t="s">
        <v>14</v>
      </c>
      <c r="C150" s="1976" t="s">
        <v>2456</v>
      </c>
      <c r="D150" s="1976" t="s">
        <v>2457</v>
      </c>
      <c r="E150" s="1976" t="s">
        <v>2458</v>
      </c>
      <c r="F150" s="1976" t="s">
        <v>2284</v>
      </c>
      <c r="G150" s="1976" t="s">
        <v>18</v>
      </c>
      <c r="H150" s="1976" t="s">
        <v>18</v>
      </c>
      <c r="I150" s="1976" t="s">
        <v>768</v>
      </c>
    </row>
    <row r="151" spans="1:9" ht="11.25" customHeight="1">
      <c r="A151" s="1976" t="s">
        <v>2149</v>
      </c>
      <c r="B151" s="1976" t="s">
        <v>14</v>
      </c>
      <c r="C151" s="1976" t="s">
        <v>2459</v>
      </c>
      <c r="D151" s="1976" t="s">
        <v>2460</v>
      </c>
      <c r="E151" s="1976" t="s">
        <v>2461</v>
      </c>
      <c r="F151" s="1976" t="s">
        <v>2186</v>
      </c>
      <c r="G151" s="1976" t="s">
        <v>18</v>
      </c>
      <c r="H151" s="1976" t="s">
        <v>18</v>
      </c>
      <c r="I151" s="1976" t="s">
        <v>768</v>
      </c>
    </row>
    <row r="152" spans="1:9" ht="11.25" customHeight="1">
      <c r="A152" s="1976" t="s">
        <v>2149</v>
      </c>
      <c r="B152" s="1976" t="s">
        <v>14</v>
      </c>
      <c r="C152" s="1976" t="s">
        <v>2481</v>
      </c>
      <c r="D152" s="1976" t="s">
        <v>2482</v>
      </c>
      <c r="E152" s="1976" t="s">
        <v>2483</v>
      </c>
      <c r="F152" s="1976" t="s">
        <v>2365</v>
      </c>
      <c r="G152" s="1976" t="s">
        <v>18</v>
      </c>
      <c r="H152" s="1976" t="s">
        <v>18</v>
      </c>
      <c r="I152" s="1976" t="s">
        <v>768</v>
      </c>
    </row>
    <row r="153" spans="1:9" ht="11.25" customHeight="1">
      <c r="A153" s="1976" t="s">
        <v>2149</v>
      </c>
      <c r="B153" s="1976" t="s">
        <v>14</v>
      </c>
      <c r="C153" s="1976" t="s">
        <v>2484</v>
      </c>
      <c r="D153" s="1976" t="s">
        <v>2485</v>
      </c>
      <c r="E153" s="1976" t="s">
        <v>2486</v>
      </c>
      <c r="F153" s="1976" t="s">
        <v>2171</v>
      </c>
      <c r="G153" s="1976" t="s">
        <v>18</v>
      </c>
      <c r="H153" s="1976" t="s">
        <v>18</v>
      </c>
      <c r="I153" s="1976" t="s">
        <v>768</v>
      </c>
    </row>
    <row r="154" spans="1:9" ht="11.25" customHeight="1">
      <c r="A154" s="1976" t="s">
        <v>2149</v>
      </c>
      <c r="B154" s="1976" t="s">
        <v>14</v>
      </c>
      <c r="C154" s="1976" t="s">
        <v>2487</v>
      </c>
      <c r="D154" s="1976" t="s">
        <v>2488</v>
      </c>
      <c r="E154" s="1976" t="s">
        <v>2489</v>
      </c>
      <c r="F154" s="1976" t="s">
        <v>2416</v>
      </c>
      <c r="G154" s="1976" t="s">
        <v>18</v>
      </c>
      <c r="H154" s="1976" t="s">
        <v>18</v>
      </c>
      <c r="I154" s="1976" t="s">
        <v>768</v>
      </c>
    </row>
    <row r="155" spans="1:9" ht="11.25" customHeight="1">
      <c r="A155" s="1976" t="s">
        <v>2149</v>
      </c>
      <c r="B155" s="1976" t="s">
        <v>14</v>
      </c>
      <c r="C155" s="1976" t="s">
        <v>2490</v>
      </c>
      <c r="D155" s="1976" t="s">
        <v>2491</v>
      </c>
      <c r="E155" s="1976" t="s">
        <v>2492</v>
      </c>
      <c r="F155" s="1976" t="s">
        <v>2229</v>
      </c>
      <c r="G155" s="1976" t="s">
        <v>18</v>
      </c>
      <c r="H155" s="1976" t="s">
        <v>18</v>
      </c>
      <c r="I155" s="1976" t="s">
        <v>768</v>
      </c>
    </row>
    <row r="156" spans="1:9" ht="11.25" customHeight="1">
      <c r="A156" s="1976" t="s">
        <v>2149</v>
      </c>
      <c r="B156" s="1976" t="s">
        <v>14</v>
      </c>
      <c r="C156" s="1976" t="s">
        <v>2497</v>
      </c>
      <c r="D156" s="1976" t="s">
        <v>2498</v>
      </c>
      <c r="E156" s="1976" t="s">
        <v>2499</v>
      </c>
      <c r="F156" s="1976" t="s">
        <v>2500</v>
      </c>
      <c r="G156" s="1976" t="s">
        <v>18</v>
      </c>
      <c r="H156" s="1976" t="s">
        <v>18</v>
      </c>
      <c r="I156" s="1976" t="s">
        <v>768</v>
      </c>
    </row>
    <row r="157" spans="1:9" ht="11.25" customHeight="1">
      <c r="A157" s="1976" t="s">
        <v>2149</v>
      </c>
      <c r="B157" s="1976" t="s">
        <v>14</v>
      </c>
      <c r="C157" s="1976" t="s">
        <v>2508</v>
      </c>
      <c r="D157" s="1976" t="s">
        <v>2509</v>
      </c>
      <c r="E157" s="1976" t="s">
        <v>2510</v>
      </c>
      <c r="F157" s="1976" t="s">
        <v>2260</v>
      </c>
      <c r="G157" s="1976" t="s">
        <v>18</v>
      </c>
      <c r="H157" s="1976" t="s">
        <v>18</v>
      </c>
      <c r="I157" s="1976" t="s">
        <v>768</v>
      </c>
    </row>
    <row r="158" spans="1:9" ht="11.25" customHeight="1">
      <c r="A158" s="1976" t="s">
        <v>2149</v>
      </c>
      <c r="B158" s="1976" t="s">
        <v>14</v>
      </c>
      <c r="C158" s="1976" t="s">
        <v>2511</v>
      </c>
      <c r="D158" s="1976" t="s">
        <v>2512</v>
      </c>
      <c r="E158" s="1976" t="s">
        <v>2513</v>
      </c>
      <c r="F158" s="1976" t="s">
        <v>2179</v>
      </c>
      <c r="G158" s="1976" t="s">
        <v>18</v>
      </c>
      <c r="H158" s="1976" t="s">
        <v>18</v>
      </c>
      <c r="I158" s="1976" t="s">
        <v>768</v>
      </c>
    </row>
    <row r="159" spans="1:9" ht="11.25" customHeight="1">
      <c r="A159" s="1976" t="s">
        <v>2149</v>
      </c>
      <c r="B159" s="1976" t="s">
        <v>14</v>
      </c>
      <c r="C159" s="1976" t="s">
        <v>2514</v>
      </c>
      <c r="D159" s="1976" t="s">
        <v>2515</v>
      </c>
      <c r="E159" s="1976" t="s">
        <v>2516</v>
      </c>
      <c r="F159" s="1976" t="s">
        <v>2496</v>
      </c>
      <c r="G159" s="1976" t="s">
        <v>2517</v>
      </c>
      <c r="H159" s="1976" t="s">
        <v>18</v>
      </c>
      <c r="I159" s="1976" t="s">
        <v>768</v>
      </c>
    </row>
    <row r="160" spans="1:9" ht="11.25" customHeight="1">
      <c r="A160" s="1976" t="s">
        <v>2149</v>
      </c>
      <c r="B160" s="1976" t="s">
        <v>14</v>
      </c>
      <c r="C160" s="1976" t="s">
        <v>2522</v>
      </c>
      <c r="D160" s="1976" t="s">
        <v>2523</v>
      </c>
      <c r="E160" s="1976" t="s">
        <v>2524</v>
      </c>
      <c r="F160" s="1976" t="s">
        <v>2525</v>
      </c>
      <c r="G160" s="1976" t="s">
        <v>18</v>
      </c>
      <c r="H160" s="1976" t="s">
        <v>18</v>
      </c>
      <c r="I160" s="1976" t="s">
        <v>768</v>
      </c>
    </row>
    <row r="161" spans="1:9" ht="11.25" customHeight="1">
      <c r="A161" s="1976" t="s">
        <v>2149</v>
      </c>
      <c r="B161" s="1976" t="s">
        <v>14</v>
      </c>
      <c r="C161" s="1976" t="s">
        <v>2150</v>
      </c>
      <c r="D161" s="1976" t="s">
        <v>2151</v>
      </c>
      <c r="E161" s="1976" t="s">
        <v>2152</v>
      </c>
      <c r="F161" s="1976" t="s">
        <v>2153</v>
      </c>
      <c r="G161" s="1976" t="s">
        <v>2154</v>
      </c>
      <c r="H161" s="1976" t="s">
        <v>18</v>
      </c>
      <c r="I161" s="1976" t="s">
        <v>730</v>
      </c>
    </row>
    <row r="162" spans="1:9" ht="11.25" customHeight="1">
      <c r="A162" s="1976" t="s">
        <v>2149</v>
      </c>
      <c r="B162" s="1976" t="s">
        <v>14</v>
      </c>
      <c r="C162" s="1976" t="s">
        <v>2155</v>
      </c>
      <c r="D162" s="1976" t="s">
        <v>2151</v>
      </c>
      <c r="E162" s="1976" t="s">
        <v>2152</v>
      </c>
      <c r="F162" s="1976" t="s">
        <v>2156</v>
      </c>
      <c r="G162" s="1976" t="s">
        <v>18</v>
      </c>
      <c r="H162" s="1976" t="s">
        <v>18</v>
      </c>
      <c r="I162" s="1976" t="s">
        <v>730</v>
      </c>
    </row>
    <row r="163" spans="1:9" ht="11.25" customHeight="1">
      <c r="A163" s="1976" t="s">
        <v>2149</v>
      </c>
      <c r="B163" s="1976" t="s">
        <v>14</v>
      </c>
      <c r="C163" s="1976" t="s">
        <v>2526</v>
      </c>
      <c r="D163" s="1976" t="s">
        <v>2527</v>
      </c>
      <c r="E163" s="1976" t="s">
        <v>2528</v>
      </c>
      <c r="F163" s="1976" t="s">
        <v>2349</v>
      </c>
      <c r="G163" s="1976" t="s">
        <v>18</v>
      </c>
      <c r="H163" s="1976" t="s">
        <v>18</v>
      </c>
      <c r="I163" s="1976" t="s">
        <v>730</v>
      </c>
    </row>
    <row r="164" spans="1:9" ht="11.25" customHeight="1">
      <c r="A164" s="1976" t="s">
        <v>2149</v>
      </c>
      <c r="B164" s="1976" t="s">
        <v>14</v>
      </c>
      <c r="C164" s="1976" t="s">
        <v>2180</v>
      </c>
      <c r="D164" s="1976" t="s">
        <v>2181</v>
      </c>
      <c r="E164" s="1976" t="s">
        <v>2166</v>
      </c>
      <c r="F164" s="1976" t="s">
        <v>2182</v>
      </c>
      <c r="G164" s="1976" t="s">
        <v>18</v>
      </c>
      <c r="H164" s="1976" t="s">
        <v>18</v>
      </c>
      <c r="I164" s="1976" t="s">
        <v>730</v>
      </c>
    </row>
    <row r="165" spans="1:9" ht="11.25" customHeight="1">
      <c r="A165" s="1976" t="s">
        <v>2149</v>
      </c>
      <c r="B165" s="1976" t="s">
        <v>14</v>
      </c>
      <c r="C165" s="1976" t="s">
        <v>2529</v>
      </c>
      <c r="D165" s="1976" t="s">
        <v>2530</v>
      </c>
      <c r="E165" s="1976" t="s">
        <v>2531</v>
      </c>
      <c r="F165" s="1976" t="s">
        <v>2213</v>
      </c>
      <c r="G165" s="1976" t="s">
        <v>18</v>
      </c>
      <c r="H165" s="1976" t="s">
        <v>18</v>
      </c>
      <c r="I165" s="1976" t="s">
        <v>730</v>
      </c>
    </row>
    <row r="166" spans="1:9" ht="11.25" customHeight="1">
      <c r="A166" s="1976" t="s">
        <v>2149</v>
      </c>
      <c r="B166" s="1976" t="s">
        <v>14</v>
      </c>
      <c r="C166" s="1976" t="s">
        <v>2190</v>
      </c>
      <c r="D166" s="1976" t="s">
        <v>2191</v>
      </c>
      <c r="E166" s="1976" t="s">
        <v>2192</v>
      </c>
      <c r="F166" s="1976" t="s">
        <v>2186</v>
      </c>
      <c r="G166" s="1976" t="s">
        <v>18</v>
      </c>
      <c r="H166" s="1976" t="s">
        <v>18</v>
      </c>
      <c r="I166" s="1976" t="s">
        <v>730</v>
      </c>
    </row>
    <row r="167" spans="1:9" ht="11.25" customHeight="1">
      <c r="A167" s="1976" t="s">
        <v>2149</v>
      </c>
      <c r="B167" s="1976" t="s">
        <v>14</v>
      </c>
      <c r="C167" s="1976" t="s">
        <v>2532</v>
      </c>
      <c r="D167" s="1976" t="s">
        <v>2533</v>
      </c>
      <c r="E167" s="1976" t="s">
        <v>2534</v>
      </c>
      <c r="F167" s="1976" t="s">
        <v>2294</v>
      </c>
      <c r="G167" s="1976" t="s">
        <v>18</v>
      </c>
      <c r="H167" s="1976" t="s">
        <v>18</v>
      </c>
      <c r="I167" s="1976" t="s">
        <v>730</v>
      </c>
    </row>
    <row r="168" spans="1:9" ht="11.25" customHeight="1">
      <c r="A168" s="1976" t="s">
        <v>2149</v>
      </c>
      <c r="B168" s="1976" t="s">
        <v>14</v>
      </c>
      <c r="C168" s="1976" t="s">
        <v>2535</v>
      </c>
      <c r="D168" s="1976" t="s">
        <v>2536</v>
      </c>
      <c r="E168" s="1976" t="s">
        <v>2537</v>
      </c>
      <c r="F168" s="1976" t="s">
        <v>537</v>
      </c>
      <c r="G168" s="1976" t="s">
        <v>18</v>
      </c>
      <c r="H168" s="1976" t="s">
        <v>18</v>
      </c>
      <c r="I168" s="1976" t="s">
        <v>730</v>
      </c>
    </row>
    <row r="169" spans="1:9" ht="11.25" customHeight="1">
      <c r="A169" s="1976" t="s">
        <v>2149</v>
      </c>
      <c r="B169" s="1976" t="s">
        <v>14</v>
      </c>
      <c r="C169" s="1976" t="s">
        <v>2538</v>
      </c>
      <c r="D169" s="1976" t="s">
        <v>2539</v>
      </c>
      <c r="E169" s="1976" t="s">
        <v>2540</v>
      </c>
      <c r="F169" s="1976" t="s">
        <v>537</v>
      </c>
      <c r="G169" s="1976" t="s">
        <v>2541</v>
      </c>
      <c r="H169" s="1976" t="s">
        <v>2542</v>
      </c>
      <c r="I169" s="1976" t="s">
        <v>730</v>
      </c>
    </row>
    <row r="170" spans="1:9" ht="11.25" customHeight="1">
      <c r="A170" s="1976" t="s">
        <v>2149</v>
      </c>
      <c r="B170" s="1976" t="s">
        <v>14</v>
      </c>
      <c r="C170" s="1976" t="s">
        <v>2543</v>
      </c>
      <c r="D170" s="1976" t="s">
        <v>2544</v>
      </c>
      <c r="E170" s="1976" t="s">
        <v>2545</v>
      </c>
      <c r="F170" s="1976" t="s">
        <v>537</v>
      </c>
      <c r="G170" s="1976" t="s">
        <v>18</v>
      </c>
      <c r="H170" s="1976" t="s">
        <v>18</v>
      </c>
      <c r="I170" s="1976" t="s">
        <v>730</v>
      </c>
    </row>
    <row r="171" spans="1:9" ht="11.25" customHeight="1">
      <c r="A171" s="1976" t="s">
        <v>2149</v>
      </c>
      <c r="B171" s="1976" t="s">
        <v>14</v>
      </c>
      <c r="C171" s="1976" t="s">
        <v>2546</v>
      </c>
      <c r="D171" s="1976" t="s">
        <v>2547</v>
      </c>
      <c r="E171" s="1976" t="s">
        <v>2548</v>
      </c>
      <c r="F171" s="1976" t="s">
        <v>537</v>
      </c>
      <c r="G171" s="1976" t="s">
        <v>18</v>
      </c>
      <c r="H171" s="1976" t="s">
        <v>18</v>
      </c>
      <c r="I171" s="1976" t="s">
        <v>730</v>
      </c>
    </row>
    <row r="172" spans="1:9" ht="11.25" customHeight="1">
      <c r="A172" s="1976" t="s">
        <v>2149</v>
      </c>
      <c r="B172" s="1976" t="s">
        <v>14</v>
      </c>
      <c r="C172" s="1976" t="s">
        <v>2549</v>
      </c>
      <c r="D172" s="1976" t="s">
        <v>2550</v>
      </c>
      <c r="E172" s="1976" t="s">
        <v>2551</v>
      </c>
      <c r="F172" s="1976" t="s">
        <v>537</v>
      </c>
      <c r="G172" s="1976" t="s">
        <v>18</v>
      </c>
      <c r="H172" s="1976" t="s">
        <v>18</v>
      </c>
      <c r="I172" s="1976" t="s">
        <v>730</v>
      </c>
    </row>
    <row r="173" spans="1:9" ht="11.25" customHeight="1">
      <c r="A173" s="1976" t="s">
        <v>2149</v>
      </c>
      <c r="B173" s="1976" t="s">
        <v>14</v>
      </c>
      <c r="C173" s="1976" t="s">
        <v>2552</v>
      </c>
      <c r="D173" s="1976" t="s">
        <v>2553</v>
      </c>
      <c r="E173" s="1976" t="s">
        <v>2554</v>
      </c>
      <c r="F173" s="1976" t="s">
        <v>537</v>
      </c>
      <c r="G173" s="1976" t="s">
        <v>2555</v>
      </c>
      <c r="H173" s="1976" t="s">
        <v>18</v>
      </c>
      <c r="I173" s="1976" t="s">
        <v>730</v>
      </c>
    </row>
    <row r="174" spans="1:9" ht="11.25" customHeight="1">
      <c r="A174" s="1976" t="s">
        <v>2149</v>
      </c>
      <c r="B174" s="1976" t="s">
        <v>14</v>
      </c>
      <c r="C174" s="1976" t="s">
        <v>2556</v>
      </c>
      <c r="D174" s="1976" t="s">
        <v>2557</v>
      </c>
      <c r="E174" s="1976" t="s">
        <v>2558</v>
      </c>
      <c r="F174" s="1976" t="s">
        <v>537</v>
      </c>
      <c r="G174" s="1976" t="s">
        <v>18</v>
      </c>
      <c r="H174" s="1976" t="s">
        <v>18</v>
      </c>
      <c r="I174" s="1976" t="s">
        <v>730</v>
      </c>
    </row>
    <row r="175" spans="1:9" ht="11.25" customHeight="1">
      <c r="A175" s="1976" t="s">
        <v>2149</v>
      </c>
      <c r="B175" s="1976" t="s">
        <v>14</v>
      </c>
      <c r="C175" s="1976" t="s">
        <v>2559</v>
      </c>
      <c r="D175" s="1976" t="s">
        <v>2560</v>
      </c>
      <c r="E175" s="1976" t="s">
        <v>2561</v>
      </c>
      <c r="F175" s="1976" t="s">
        <v>537</v>
      </c>
      <c r="G175" s="1976" t="s">
        <v>18</v>
      </c>
      <c r="H175" s="1976" t="s">
        <v>18</v>
      </c>
      <c r="I175" s="1976" t="s">
        <v>730</v>
      </c>
    </row>
    <row r="176" spans="1:9" ht="11.25" customHeight="1">
      <c r="A176" s="1976" t="s">
        <v>2149</v>
      </c>
      <c r="B176" s="1976" t="s">
        <v>14</v>
      </c>
      <c r="C176" s="1976" t="s">
        <v>2203</v>
      </c>
      <c r="D176" s="1976" t="s">
        <v>2204</v>
      </c>
      <c r="E176" s="1976" t="s">
        <v>2205</v>
      </c>
      <c r="F176" s="1976" t="s">
        <v>2206</v>
      </c>
      <c r="G176" s="1976" t="s">
        <v>18</v>
      </c>
      <c r="H176" s="1976" t="s">
        <v>18</v>
      </c>
      <c r="I176" s="1976" t="s">
        <v>730</v>
      </c>
    </row>
    <row r="177" spans="1:9" ht="11.25" customHeight="1">
      <c r="A177" s="1976" t="s">
        <v>2149</v>
      </c>
      <c r="B177" s="1976" t="s">
        <v>14</v>
      </c>
      <c r="C177" s="1976" t="s">
        <v>2207</v>
      </c>
      <c r="D177" s="1976" t="s">
        <v>2208</v>
      </c>
      <c r="E177" s="1976" t="s">
        <v>2209</v>
      </c>
      <c r="F177" s="1976" t="s">
        <v>2210</v>
      </c>
      <c r="G177" s="1976" t="s">
        <v>18</v>
      </c>
      <c r="H177" s="1976" t="s">
        <v>18</v>
      </c>
      <c r="I177" s="1976" t="s">
        <v>730</v>
      </c>
    </row>
    <row r="178" spans="1:9" ht="11.25" customHeight="1">
      <c r="A178" s="1976" t="s">
        <v>2149</v>
      </c>
      <c r="B178" s="1976" t="s">
        <v>14</v>
      </c>
      <c r="C178" s="1976" t="s">
        <v>2214</v>
      </c>
      <c r="D178" s="1976" t="s">
        <v>2215</v>
      </c>
      <c r="E178" s="1976" t="s">
        <v>2205</v>
      </c>
      <c r="F178" s="1976" t="s">
        <v>2216</v>
      </c>
      <c r="G178" s="1976" t="s">
        <v>18</v>
      </c>
      <c r="H178" s="1976" t="s">
        <v>18</v>
      </c>
      <c r="I178" s="1976" t="s">
        <v>730</v>
      </c>
    </row>
    <row r="179" spans="1:9" ht="11.25" customHeight="1">
      <c r="A179" s="1976" t="s">
        <v>2149</v>
      </c>
      <c r="B179" s="1976" t="s">
        <v>14</v>
      </c>
      <c r="C179" s="1976" t="s">
        <v>2220</v>
      </c>
      <c r="D179" s="1976" t="s">
        <v>2221</v>
      </c>
      <c r="E179" s="1976" t="s">
        <v>2205</v>
      </c>
      <c r="F179" s="1976" t="s">
        <v>2222</v>
      </c>
      <c r="G179" s="1976" t="s">
        <v>18</v>
      </c>
      <c r="H179" s="1976" t="s">
        <v>18</v>
      </c>
      <c r="I179" s="1976" t="s">
        <v>730</v>
      </c>
    </row>
    <row r="180" spans="1:9" ht="11.25" customHeight="1">
      <c r="A180" s="1976" t="s">
        <v>2149</v>
      </c>
      <c r="B180" s="1976" t="s">
        <v>14</v>
      </c>
      <c r="C180" s="1976" t="s">
        <v>2226</v>
      </c>
      <c r="D180" s="1976" t="s">
        <v>2227</v>
      </c>
      <c r="E180" s="1976" t="s">
        <v>2228</v>
      </c>
      <c r="F180" s="1976" t="s">
        <v>2229</v>
      </c>
      <c r="G180" s="1976" t="s">
        <v>18</v>
      </c>
      <c r="H180" s="1976" t="s">
        <v>18</v>
      </c>
      <c r="I180" s="1976" t="s">
        <v>730</v>
      </c>
    </row>
    <row r="181" spans="1:9" ht="11.25" customHeight="1">
      <c r="A181" s="1976" t="s">
        <v>2149</v>
      </c>
      <c r="B181" s="1976" t="s">
        <v>14</v>
      </c>
      <c r="C181" s="1976" t="s">
        <v>2230</v>
      </c>
      <c r="D181" s="1976" t="s">
        <v>2231</v>
      </c>
      <c r="E181" s="1976" t="s">
        <v>2232</v>
      </c>
      <c r="F181" s="1976" t="s">
        <v>2179</v>
      </c>
      <c r="G181" s="1976" t="s">
        <v>18</v>
      </c>
      <c r="H181" s="1976" t="s">
        <v>18</v>
      </c>
      <c r="I181" s="1976" t="s">
        <v>730</v>
      </c>
    </row>
    <row r="182" spans="1:9" ht="11.25" customHeight="1">
      <c r="A182" s="1976" t="s">
        <v>2149</v>
      </c>
      <c r="B182" s="1976" t="s">
        <v>14</v>
      </c>
      <c r="C182" s="1976" t="s">
        <v>2562</v>
      </c>
      <c r="D182" s="1976" t="s">
        <v>2563</v>
      </c>
      <c r="E182" s="1976" t="s">
        <v>2564</v>
      </c>
      <c r="F182" s="1976" t="s">
        <v>2284</v>
      </c>
      <c r="G182" s="1976" t="s">
        <v>18</v>
      </c>
      <c r="H182" s="1976" t="s">
        <v>18</v>
      </c>
      <c r="I182" s="1976" t="s">
        <v>730</v>
      </c>
    </row>
    <row r="183" spans="1:9" ht="11.25" customHeight="1">
      <c r="A183" s="1976" t="s">
        <v>2149</v>
      </c>
      <c r="B183" s="1976" t="s">
        <v>14</v>
      </c>
      <c r="C183" s="1976" t="s">
        <v>2565</v>
      </c>
      <c r="D183" s="1976" t="s">
        <v>2566</v>
      </c>
      <c r="E183" s="1976" t="s">
        <v>2567</v>
      </c>
      <c r="F183" s="1976" t="s">
        <v>2264</v>
      </c>
      <c r="G183" s="1976" t="s">
        <v>18</v>
      </c>
      <c r="H183" s="1976" t="s">
        <v>18</v>
      </c>
      <c r="I183" s="1976" t="s">
        <v>730</v>
      </c>
    </row>
    <row r="184" spans="1:9" ht="11.25" customHeight="1">
      <c r="A184" s="1976" t="s">
        <v>2149</v>
      </c>
      <c r="B184" s="1976" t="s">
        <v>14</v>
      </c>
      <c r="C184" s="1976" t="s">
        <v>2568</v>
      </c>
      <c r="D184" s="1976" t="s">
        <v>2566</v>
      </c>
      <c r="E184" s="1976" t="s">
        <v>2569</v>
      </c>
      <c r="F184" s="1976" t="s">
        <v>2251</v>
      </c>
      <c r="G184" s="1976" t="s">
        <v>18</v>
      </c>
      <c r="H184" s="1976" t="s">
        <v>18</v>
      </c>
      <c r="I184" s="1976" t="s">
        <v>730</v>
      </c>
    </row>
    <row r="185" spans="1:9" ht="11.25" customHeight="1">
      <c r="A185" s="1976" t="s">
        <v>2149</v>
      </c>
      <c r="B185" s="1976" t="s">
        <v>14</v>
      </c>
      <c r="C185" s="1976" t="s">
        <v>2570</v>
      </c>
      <c r="D185" s="1976" t="s">
        <v>2571</v>
      </c>
      <c r="E185" s="1976" t="s">
        <v>2572</v>
      </c>
      <c r="F185" s="1976" t="s">
        <v>2264</v>
      </c>
      <c r="G185" s="1976" t="s">
        <v>18</v>
      </c>
      <c r="H185" s="1976" t="s">
        <v>18</v>
      </c>
      <c r="I185" s="1976" t="s">
        <v>730</v>
      </c>
    </row>
    <row r="186" spans="1:9" ht="11.25" customHeight="1">
      <c r="A186" s="1976" t="s">
        <v>2149</v>
      </c>
      <c r="B186" s="1976" t="s">
        <v>14</v>
      </c>
      <c r="C186" s="1976" t="s">
        <v>2573</v>
      </c>
      <c r="D186" s="1976" t="s">
        <v>2574</v>
      </c>
      <c r="E186" s="1976" t="s">
        <v>2575</v>
      </c>
      <c r="F186" s="1976" t="s">
        <v>2236</v>
      </c>
      <c r="G186" s="1976" t="s">
        <v>18</v>
      </c>
      <c r="H186" s="1976" t="s">
        <v>18</v>
      </c>
      <c r="I186" s="1976" t="s">
        <v>730</v>
      </c>
    </row>
    <row r="187" spans="1:9" ht="11.25" customHeight="1">
      <c r="A187" s="1976" t="s">
        <v>2149</v>
      </c>
      <c r="B187" s="1976" t="s">
        <v>14</v>
      </c>
      <c r="C187" s="1976" t="s">
        <v>2237</v>
      </c>
      <c r="D187" s="1976" t="s">
        <v>2238</v>
      </c>
      <c r="E187" s="1976" t="s">
        <v>2239</v>
      </c>
      <c r="F187" s="1976" t="s">
        <v>2240</v>
      </c>
      <c r="G187" s="1976" t="s">
        <v>18</v>
      </c>
      <c r="H187" s="1976" t="s">
        <v>18</v>
      </c>
      <c r="I187" s="1976" t="s">
        <v>730</v>
      </c>
    </row>
    <row r="188" spans="1:9" ht="11.25" customHeight="1">
      <c r="A188" s="1976" t="s">
        <v>2149</v>
      </c>
      <c r="B188" s="1976" t="s">
        <v>14</v>
      </c>
      <c r="C188" s="1976" t="s">
        <v>2576</v>
      </c>
      <c r="D188" s="1976" t="s">
        <v>2577</v>
      </c>
      <c r="E188" s="1976" t="s">
        <v>2578</v>
      </c>
      <c r="F188" s="1976" t="s">
        <v>2579</v>
      </c>
      <c r="G188" s="1976" t="s">
        <v>18</v>
      </c>
      <c r="H188" s="1976" t="s">
        <v>18</v>
      </c>
      <c r="I188" s="1976" t="s">
        <v>730</v>
      </c>
    </row>
    <row r="189" spans="1:9" ht="11.25" customHeight="1">
      <c r="A189" s="1976" t="s">
        <v>2149</v>
      </c>
      <c r="B189" s="1976" t="s">
        <v>14</v>
      </c>
      <c r="C189" s="1976" t="s">
        <v>2580</v>
      </c>
      <c r="D189" s="1976" t="s">
        <v>2581</v>
      </c>
      <c r="E189" s="1976" t="s">
        <v>2582</v>
      </c>
      <c r="F189" s="1976" t="s">
        <v>2583</v>
      </c>
      <c r="G189" s="1976" t="s">
        <v>18</v>
      </c>
      <c r="H189" s="1976" t="s">
        <v>18</v>
      </c>
      <c r="I189" s="1976" t="s">
        <v>730</v>
      </c>
    </row>
    <row r="190" spans="1:9" ht="11.25" customHeight="1">
      <c r="A190" s="1976" t="s">
        <v>2149</v>
      </c>
      <c r="B190" s="1976" t="s">
        <v>14</v>
      </c>
      <c r="C190" s="1976" t="s">
        <v>2241</v>
      </c>
      <c r="D190" s="1976" t="s">
        <v>2242</v>
      </c>
      <c r="E190" s="1976" t="s">
        <v>2243</v>
      </c>
      <c r="F190" s="1976" t="s">
        <v>2236</v>
      </c>
      <c r="G190" s="1976" t="s">
        <v>18</v>
      </c>
      <c r="H190" s="1976" t="s">
        <v>18</v>
      </c>
      <c r="I190" s="1976" t="s">
        <v>730</v>
      </c>
    </row>
    <row r="191" spans="1:9" ht="11.25" customHeight="1">
      <c r="A191" s="1976" t="s">
        <v>2149</v>
      </c>
      <c r="B191" s="1976" t="s">
        <v>14</v>
      </c>
      <c r="C191" s="1976" t="s">
        <v>2244</v>
      </c>
      <c r="D191" s="1976" t="s">
        <v>2245</v>
      </c>
      <c r="E191" s="1976" t="s">
        <v>2246</v>
      </c>
      <c r="F191" s="1976" t="s">
        <v>2198</v>
      </c>
      <c r="G191" s="1976" t="s">
        <v>2247</v>
      </c>
      <c r="H191" s="1976" t="s">
        <v>18</v>
      </c>
      <c r="I191" s="1976" t="s">
        <v>730</v>
      </c>
    </row>
    <row r="192" spans="1:9" ht="11.25" customHeight="1">
      <c r="A192" s="1976" t="s">
        <v>2149</v>
      </c>
      <c r="B192" s="1976" t="s">
        <v>14</v>
      </c>
      <c r="C192" s="1976" t="s">
        <v>2584</v>
      </c>
      <c r="D192" s="1976" t="s">
        <v>2585</v>
      </c>
      <c r="E192" s="1976" t="s">
        <v>2586</v>
      </c>
      <c r="F192" s="1976" t="s">
        <v>2587</v>
      </c>
      <c r="G192" s="1976" t="s">
        <v>18</v>
      </c>
      <c r="H192" s="1976" t="s">
        <v>18</v>
      </c>
      <c r="I192" s="1976" t="s">
        <v>730</v>
      </c>
    </row>
    <row r="193" spans="1:9" ht="11.25" customHeight="1">
      <c r="A193" s="1976" t="s">
        <v>2149</v>
      </c>
      <c r="B193" s="1976" t="s">
        <v>14</v>
      </c>
      <c r="C193" s="1976" t="s">
        <v>2588</v>
      </c>
      <c r="D193" s="1976" t="s">
        <v>2589</v>
      </c>
      <c r="E193" s="1976" t="s">
        <v>2590</v>
      </c>
      <c r="F193" s="1976" t="s">
        <v>2294</v>
      </c>
      <c r="G193" s="1976" t="s">
        <v>18</v>
      </c>
      <c r="H193" s="1976" t="s">
        <v>18</v>
      </c>
      <c r="I193" s="1976" t="s">
        <v>730</v>
      </c>
    </row>
    <row r="194" spans="1:9" ht="11.25" customHeight="1">
      <c r="A194" s="1976" t="s">
        <v>2149</v>
      </c>
      <c r="B194" s="1976" t="s">
        <v>14</v>
      </c>
      <c r="C194" s="1976" t="s">
        <v>2268</v>
      </c>
      <c r="D194" s="1976" t="s">
        <v>2269</v>
      </c>
      <c r="E194" s="1976" t="s">
        <v>2270</v>
      </c>
      <c r="F194" s="1976" t="s">
        <v>2240</v>
      </c>
      <c r="G194" s="1976" t="s">
        <v>18</v>
      </c>
      <c r="H194" s="1976" t="s">
        <v>18</v>
      </c>
      <c r="I194" s="1976" t="s">
        <v>730</v>
      </c>
    </row>
    <row r="195" spans="1:9" ht="11.25" customHeight="1">
      <c r="A195" s="1976" t="s">
        <v>2149</v>
      </c>
      <c r="B195" s="1976" t="s">
        <v>14</v>
      </c>
      <c r="C195" s="1976" t="s">
        <v>2591</v>
      </c>
      <c r="D195" s="1976" t="s">
        <v>2592</v>
      </c>
      <c r="E195" s="1976" t="s">
        <v>2593</v>
      </c>
      <c r="F195" s="1976" t="s">
        <v>2240</v>
      </c>
      <c r="G195" s="1976" t="s">
        <v>18</v>
      </c>
      <c r="H195" s="1976" t="s">
        <v>18</v>
      </c>
      <c r="I195" s="1976" t="s">
        <v>730</v>
      </c>
    </row>
    <row r="196" spans="1:9" ht="11.25" customHeight="1">
      <c r="A196" s="1976" t="s">
        <v>2149</v>
      </c>
      <c r="B196" s="1976" t="s">
        <v>14</v>
      </c>
      <c r="C196" s="1976" t="s">
        <v>2594</v>
      </c>
      <c r="D196" s="1976" t="s">
        <v>2595</v>
      </c>
      <c r="E196" s="1976" t="s">
        <v>2596</v>
      </c>
      <c r="F196" s="1976" t="s">
        <v>2597</v>
      </c>
      <c r="G196" s="1976" t="s">
        <v>18</v>
      </c>
      <c r="H196" s="1976" t="s">
        <v>18</v>
      </c>
      <c r="I196" s="1976" t="s">
        <v>730</v>
      </c>
    </row>
    <row r="197" spans="1:9" ht="11.25" customHeight="1">
      <c r="A197" s="1976" t="s">
        <v>2149</v>
      </c>
      <c r="B197" s="1976" t="s">
        <v>14</v>
      </c>
      <c r="C197" s="1976" t="s">
        <v>2271</v>
      </c>
      <c r="D197" s="1976" t="s">
        <v>2272</v>
      </c>
      <c r="E197" s="1976" t="s">
        <v>2273</v>
      </c>
      <c r="F197" s="1976" t="s">
        <v>2229</v>
      </c>
      <c r="G197" s="1976" t="s">
        <v>18</v>
      </c>
      <c r="H197" s="1976" t="s">
        <v>18</v>
      </c>
      <c r="I197" s="1976" t="s">
        <v>730</v>
      </c>
    </row>
    <row r="198" spans="1:9" ht="11.25" customHeight="1">
      <c r="A198" s="1976" t="s">
        <v>2149</v>
      </c>
      <c r="B198" s="1976" t="s">
        <v>14</v>
      </c>
      <c r="C198" s="1976" t="s">
        <v>2598</v>
      </c>
      <c r="D198" s="1976" t="s">
        <v>2599</v>
      </c>
      <c r="E198" s="1976" t="s">
        <v>2600</v>
      </c>
      <c r="F198" s="1976" t="s">
        <v>2294</v>
      </c>
      <c r="G198" s="1976" t="s">
        <v>18</v>
      </c>
      <c r="H198" s="1976" t="s">
        <v>18</v>
      </c>
      <c r="I198" s="1976" t="s">
        <v>730</v>
      </c>
    </row>
    <row r="199" spans="1:9" ht="11.25" customHeight="1">
      <c r="A199" s="1976" t="s">
        <v>2149</v>
      </c>
      <c r="B199" s="1976" t="s">
        <v>14</v>
      </c>
      <c r="C199" s="1976" t="s">
        <v>2601</v>
      </c>
      <c r="D199" s="1976" t="s">
        <v>2602</v>
      </c>
      <c r="E199" s="1976" t="s">
        <v>2603</v>
      </c>
      <c r="F199" s="1976" t="s">
        <v>2256</v>
      </c>
      <c r="G199" s="1976" t="s">
        <v>18</v>
      </c>
      <c r="H199" s="1976" t="s">
        <v>18</v>
      </c>
      <c r="I199" s="1976" t="s">
        <v>730</v>
      </c>
    </row>
    <row r="200" spans="1:9" ht="11.25" customHeight="1">
      <c r="A200" s="1976" t="s">
        <v>2149</v>
      </c>
      <c r="B200" s="1976" t="s">
        <v>14</v>
      </c>
      <c r="C200" s="1976" t="s">
        <v>2604</v>
      </c>
      <c r="D200" s="1976" t="s">
        <v>2605</v>
      </c>
      <c r="E200" s="1976" t="s">
        <v>2606</v>
      </c>
      <c r="F200" s="1976" t="s">
        <v>2579</v>
      </c>
      <c r="G200" s="1976" t="s">
        <v>2607</v>
      </c>
      <c r="H200" s="1976" t="s">
        <v>18</v>
      </c>
      <c r="I200" s="1976" t="s">
        <v>730</v>
      </c>
    </row>
    <row r="201" spans="1:9" ht="11.25" customHeight="1">
      <c r="A201" s="1976" t="s">
        <v>2149</v>
      </c>
      <c r="B201" s="1976" t="s">
        <v>14</v>
      </c>
      <c r="C201" s="1976" t="s">
        <v>2608</v>
      </c>
      <c r="D201" s="1976" t="s">
        <v>2609</v>
      </c>
      <c r="E201" s="1976" t="s">
        <v>2610</v>
      </c>
      <c r="F201" s="1976" t="s">
        <v>2256</v>
      </c>
      <c r="G201" s="1976" t="s">
        <v>18</v>
      </c>
      <c r="H201" s="1976" t="s">
        <v>18</v>
      </c>
      <c r="I201" s="1976" t="s">
        <v>730</v>
      </c>
    </row>
    <row r="202" spans="1:9" ht="11.25" customHeight="1">
      <c r="A202" s="1976" t="s">
        <v>2149</v>
      </c>
      <c r="B202" s="1976" t="s">
        <v>14</v>
      </c>
      <c r="C202" s="1976" t="s">
        <v>2274</v>
      </c>
      <c r="D202" s="1976" t="s">
        <v>2275</v>
      </c>
      <c r="E202" s="1976" t="s">
        <v>2276</v>
      </c>
      <c r="F202" s="1976" t="s">
        <v>2229</v>
      </c>
      <c r="G202" s="1976" t="s">
        <v>18</v>
      </c>
      <c r="H202" s="1976" t="s">
        <v>18</v>
      </c>
      <c r="I202" s="1976" t="s">
        <v>730</v>
      </c>
    </row>
    <row r="203" spans="1:9" ht="11.25" customHeight="1">
      <c r="A203" s="1976" t="s">
        <v>2149</v>
      </c>
      <c r="B203" s="1976" t="s">
        <v>14</v>
      </c>
      <c r="C203" s="1976" t="s">
        <v>2611</v>
      </c>
      <c r="D203" s="1976" t="s">
        <v>2612</v>
      </c>
      <c r="E203" s="1976" t="s">
        <v>2613</v>
      </c>
      <c r="F203" s="1976" t="s">
        <v>2198</v>
      </c>
      <c r="G203" s="1976" t="s">
        <v>18</v>
      </c>
      <c r="H203" s="1976" t="s">
        <v>18</v>
      </c>
      <c r="I203" s="1976" t="s">
        <v>730</v>
      </c>
    </row>
    <row r="204" spans="1:9" ht="11.25" customHeight="1">
      <c r="A204" s="1976" t="s">
        <v>2149</v>
      </c>
      <c r="B204" s="1976" t="s">
        <v>14</v>
      </c>
      <c r="C204" s="1976" t="s">
        <v>2614</v>
      </c>
      <c r="D204" s="1976" t="s">
        <v>2615</v>
      </c>
      <c r="E204" s="1976" t="s">
        <v>2616</v>
      </c>
      <c r="F204" s="1976" t="s">
        <v>2260</v>
      </c>
      <c r="G204" s="1976" t="s">
        <v>18</v>
      </c>
      <c r="H204" s="1976" t="s">
        <v>18</v>
      </c>
      <c r="I204" s="1976" t="s">
        <v>730</v>
      </c>
    </row>
    <row r="205" spans="1:9" ht="11.25" customHeight="1">
      <c r="A205" s="1976" t="s">
        <v>2149</v>
      </c>
      <c r="B205" s="1976" t="s">
        <v>14</v>
      </c>
      <c r="C205" s="1976" t="s">
        <v>2617</v>
      </c>
      <c r="D205" s="1976" t="s">
        <v>2618</v>
      </c>
      <c r="E205" s="1976" t="s">
        <v>2619</v>
      </c>
      <c r="F205" s="1976" t="s">
        <v>2579</v>
      </c>
      <c r="G205" s="1976" t="s">
        <v>2620</v>
      </c>
      <c r="H205" s="1976" t="s">
        <v>18</v>
      </c>
      <c r="I205" s="1976" t="s">
        <v>730</v>
      </c>
    </row>
    <row r="206" spans="1:9" ht="11.25" customHeight="1">
      <c r="A206" s="1976" t="s">
        <v>2149</v>
      </c>
      <c r="B206" s="1976" t="s">
        <v>14</v>
      </c>
      <c r="C206" s="1976" t="s">
        <v>2277</v>
      </c>
      <c r="D206" s="1976" t="s">
        <v>2278</v>
      </c>
      <c r="E206" s="1976" t="s">
        <v>2279</v>
      </c>
      <c r="F206" s="1976" t="s">
        <v>2280</v>
      </c>
      <c r="G206" s="1976" t="s">
        <v>18</v>
      </c>
      <c r="H206" s="1976" t="s">
        <v>18</v>
      </c>
      <c r="I206" s="1976" t="s">
        <v>730</v>
      </c>
    </row>
    <row r="207" spans="1:9" ht="11.25" customHeight="1">
      <c r="A207" s="1976" t="s">
        <v>2149</v>
      </c>
      <c r="B207" s="1976" t="s">
        <v>14</v>
      </c>
      <c r="C207" s="1976" t="s">
        <v>2621</v>
      </c>
      <c r="D207" s="1976" t="s">
        <v>2622</v>
      </c>
      <c r="E207" s="1976" t="s">
        <v>2623</v>
      </c>
      <c r="F207" s="1976" t="s">
        <v>2240</v>
      </c>
      <c r="G207" s="1976" t="s">
        <v>18</v>
      </c>
      <c r="H207" s="1976" t="s">
        <v>18</v>
      </c>
      <c r="I207" s="1976" t="s">
        <v>730</v>
      </c>
    </row>
    <row r="208" spans="1:9" ht="11.25" customHeight="1">
      <c r="A208" s="1976" t="s">
        <v>2149</v>
      </c>
      <c r="B208" s="1976" t="s">
        <v>14</v>
      </c>
      <c r="C208" s="1976" t="s">
        <v>2624</v>
      </c>
      <c r="D208" s="1976" t="s">
        <v>2625</v>
      </c>
      <c r="E208" s="1976" t="s">
        <v>2626</v>
      </c>
      <c r="F208" s="1976" t="s">
        <v>2325</v>
      </c>
      <c r="G208" s="1976" t="s">
        <v>2627</v>
      </c>
      <c r="H208" s="1976" t="s">
        <v>18</v>
      </c>
      <c r="I208" s="1976" t="s">
        <v>730</v>
      </c>
    </row>
    <row r="209" spans="1:9" ht="11.25" customHeight="1">
      <c r="A209" s="1976" t="s">
        <v>2149</v>
      </c>
      <c r="B209" s="1976" t="s">
        <v>14</v>
      </c>
      <c r="C209" s="1976" t="s">
        <v>2628</v>
      </c>
      <c r="D209" s="1976" t="s">
        <v>2629</v>
      </c>
      <c r="E209" s="1976" t="s">
        <v>2630</v>
      </c>
      <c r="F209" s="1976" t="s">
        <v>2229</v>
      </c>
      <c r="G209" s="1976" t="s">
        <v>18</v>
      </c>
      <c r="H209" s="1976" t="s">
        <v>18</v>
      </c>
      <c r="I209" s="1976" t="s">
        <v>730</v>
      </c>
    </row>
    <row r="210" spans="1:9" ht="11.25" customHeight="1">
      <c r="A210" s="1976" t="s">
        <v>2149</v>
      </c>
      <c r="B210" s="1976" t="s">
        <v>14</v>
      </c>
      <c r="C210" s="1976" t="s">
        <v>2631</v>
      </c>
      <c r="D210" s="1976" t="s">
        <v>2632</v>
      </c>
      <c r="E210" s="1976" t="s">
        <v>2633</v>
      </c>
      <c r="F210" s="1976" t="s">
        <v>2264</v>
      </c>
      <c r="G210" s="1976" t="s">
        <v>18</v>
      </c>
      <c r="H210" s="1976" t="s">
        <v>2634</v>
      </c>
      <c r="I210" s="1976" t="s">
        <v>730</v>
      </c>
    </row>
    <row r="211" spans="1:9" ht="11.25" customHeight="1">
      <c r="A211" s="1976" t="s">
        <v>2149</v>
      </c>
      <c r="B211" s="1976" t="s">
        <v>14</v>
      </c>
      <c r="C211" s="1976" t="s">
        <v>2635</v>
      </c>
      <c r="D211" s="1976" t="s">
        <v>2636</v>
      </c>
      <c r="E211" s="1976" t="s">
        <v>2637</v>
      </c>
      <c r="F211" s="1976" t="s">
        <v>2294</v>
      </c>
      <c r="G211" s="1976" t="s">
        <v>18</v>
      </c>
      <c r="H211" s="1976" t="s">
        <v>18</v>
      </c>
      <c r="I211" s="1976" t="s">
        <v>730</v>
      </c>
    </row>
    <row r="212" spans="1:9" ht="11.25" customHeight="1">
      <c r="A212" s="1976" t="s">
        <v>2149</v>
      </c>
      <c r="B212" s="1976" t="s">
        <v>14</v>
      </c>
      <c r="C212" s="1976" t="s">
        <v>2281</v>
      </c>
      <c r="D212" s="1976" t="s">
        <v>2282</v>
      </c>
      <c r="E212" s="1976" t="s">
        <v>2283</v>
      </c>
      <c r="F212" s="1976" t="s">
        <v>2284</v>
      </c>
      <c r="G212" s="1976" t="s">
        <v>18</v>
      </c>
      <c r="H212" s="1976" t="s">
        <v>18</v>
      </c>
      <c r="I212" s="1976" t="s">
        <v>730</v>
      </c>
    </row>
    <row r="213" spans="1:9" ht="11.25" customHeight="1">
      <c r="A213" s="1976" t="s">
        <v>2149</v>
      </c>
      <c r="B213" s="1976" t="s">
        <v>14</v>
      </c>
      <c r="C213" s="1976" t="s">
        <v>2638</v>
      </c>
      <c r="D213" s="1976" t="s">
        <v>2639</v>
      </c>
      <c r="E213" s="1976" t="s">
        <v>2640</v>
      </c>
      <c r="F213" s="1976" t="s">
        <v>2198</v>
      </c>
      <c r="G213" s="1976" t="s">
        <v>18</v>
      </c>
      <c r="H213" s="1976" t="s">
        <v>18</v>
      </c>
      <c r="I213" s="1976" t="s">
        <v>730</v>
      </c>
    </row>
    <row r="214" spans="1:9" ht="11.25" customHeight="1">
      <c r="A214" s="1976" t="s">
        <v>2149</v>
      </c>
      <c r="B214" s="1976" t="s">
        <v>14</v>
      </c>
      <c r="C214" s="1976" t="s">
        <v>2288</v>
      </c>
      <c r="D214" s="1976" t="s">
        <v>2289</v>
      </c>
      <c r="E214" s="1976" t="s">
        <v>2290</v>
      </c>
      <c r="F214" s="1976" t="s">
        <v>2240</v>
      </c>
      <c r="G214" s="1976" t="s">
        <v>18</v>
      </c>
      <c r="H214" s="1976" t="s">
        <v>18</v>
      </c>
      <c r="I214" s="1976" t="s">
        <v>730</v>
      </c>
    </row>
    <row r="215" spans="1:9" ht="11.25" customHeight="1">
      <c r="A215" s="1976" t="s">
        <v>2149</v>
      </c>
      <c r="B215" s="1976" t="s">
        <v>14</v>
      </c>
      <c r="C215" s="1976" t="s">
        <v>2641</v>
      </c>
      <c r="D215" s="1976" t="s">
        <v>2642</v>
      </c>
      <c r="E215" s="1976" t="s">
        <v>2643</v>
      </c>
      <c r="F215" s="1976" t="s">
        <v>2579</v>
      </c>
      <c r="G215" s="1976" t="s">
        <v>18</v>
      </c>
      <c r="H215" s="1976" t="s">
        <v>18</v>
      </c>
      <c r="I215" s="1976" t="s">
        <v>730</v>
      </c>
    </row>
    <row r="216" spans="1:9" ht="11.25" customHeight="1">
      <c r="A216" s="1976" t="s">
        <v>2149</v>
      </c>
      <c r="B216" s="1976" t="s">
        <v>14</v>
      </c>
      <c r="C216" s="1976" t="s">
        <v>2295</v>
      </c>
      <c r="D216" s="1976" t="s">
        <v>2296</v>
      </c>
      <c r="E216" s="1976" t="s">
        <v>2297</v>
      </c>
      <c r="F216" s="1976" t="s">
        <v>2280</v>
      </c>
      <c r="G216" s="1976" t="s">
        <v>18</v>
      </c>
      <c r="H216" s="1976" t="s">
        <v>18</v>
      </c>
      <c r="I216" s="1976" t="s">
        <v>730</v>
      </c>
    </row>
    <row r="217" spans="1:9" ht="11.25" customHeight="1">
      <c r="A217" s="1976" t="s">
        <v>2149</v>
      </c>
      <c r="B217" s="1976" t="s">
        <v>14</v>
      </c>
      <c r="C217" s="1976" t="s">
        <v>2644</v>
      </c>
      <c r="D217" s="1976" t="s">
        <v>2645</v>
      </c>
      <c r="E217" s="1976" t="s">
        <v>2646</v>
      </c>
      <c r="F217" s="1976" t="s">
        <v>2647</v>
      </c>
      <c r="G217" s="1976" t="s">
        <v>18</v>
      </c>
      <c r="H217" s="1976" t="s">
        <v>18</v>
      </c>
      <c r="I217" s="1976" t="s">
        <v>730</v>
      </c>
    </row>
    <row r="218" spans="1:9" ht="11.25" customHeight="1">
      <c r="A218" s="1976" t="s">
        <v>2149</v>
      </c>
      <c r="B218" s="1976" t="s">
        <v>14</v>
      </c>
      <c r="C218" s="1976" t="s">
        <v>2298</v>
      </c>
      <c r="D218" s="1976" t="s">
        <v>2299</v>
      </c>
      <c r="E218" s="1976" t="s">
        <v>2300</v>
      </c>
      <c r="F218" s="1976" t="s">
        <v>2301</v>
      </c>
      <c r="G218" s="1976" t="s">
        <v>18</v>
      </c>
      <c r="H218" s="1976" t="s">
        <v>18</v>
      </c>
      <c r="I218" s="1976" t="s">
        <v>730</v>
      </c>
    </row>
    <row r="219" spans="1:9" ht="11.25" customHeight="1">
      <c r="A219" s="1976" t="s">
        <v>2149</v>
      </c>
      <c r="B219" s="1976" t="s">
        <v>14</v>
      </c>
      <c r="C219" s="1976" t="s">
        <v>2302</v>
      </c>
      <c r="D219" s="1976" t="s">
        <v>2303</v>
      </c>
      <c r="E219" s="1976" t="s">
        <v>2304</v>
      </c>
      <c r="F219" s="1976" t="s">
        <v>2305</v>
      </c>
      <c r="G219" s="1976" t="s">
        <v>18</v>
      </c>
      <c r="H219" s="1976" t="s">
        <v>18</v>
      </c>
      <c r="I219" s="1976" t="s">
        <v>730</v>
      </c>
    </row>
    <row r="220" spans="1:9" ht="11.25" customHeight="1">
      <c r="A220" s="1976" t="s">
        <v>2149</v>
      </c>
      <c r="B220" s="1976" t="s">
        <v>14</v>
      </c>
      <c r="C220" s="1976" t="s">
        <v>2306</v>
      </c>
      <c r="D220" s="1976" t="s">
        <v>2307</v>
      </c>
      <c r="E220" s="1976" t="s">
        <v>2308</v>
      </c>
      <c r="F220" s="1976" t="s">
        <v>2229</v>
      </c>
      <c r="G220" s="1976" t="s">
        <v>18</v>
      </c>
      <c r="H220" s="1976" t="s">
        <v>18</v>
      </c>
      <c r="I220" s="1976" t="s">
        <v>730</v>
      </c>
    </row>
    <row r="221" spans="1:9" ht="11.25" customHeight="1">
      <c r="A221" s="1976" t="s">
        <v>2149</v>
      </c>
      <c r="B221" s="1976" t="s">
        <v>14</v>
      </c>
      <c r="C221" s="1976" t="s">
        <v>2648</v>
      </c>
      <c r="D221" s="1976" t="s">
        <v>2649</v>
      </c>
      <c r="E221" s="1976" t="s">
        <v>2650</v>
      </c>
      <c r="F221" s="1976" t="s">
        <v>2597</v>
      </c>
      <c r="G221" s="1976" t="s">
        <v>18</v>
      </c>
      <c r="H221" s="1976" t="s">
        <v>18</v>
      </c>
      <c r="I221" s="1976" t="s">
        <v>730</v>
      </c>
    </row>
    <row r="222" spans="1:9" ht="11.25" customHeight="1">
      <c r="A222" s="1976" t="s">
        <v>2149</v>
      </c>
      <c r="B222" s="1976" t="s">
        <v>14</v>
      </c>
      <c r="C222" s="1976" t="s">
        <v>2651</v>
      </c>
      <c r="D222" s="1976" t="s">
        <v>2652</v>
      </c>
      <c r="E222" s="1976" t="s">
        <v>2653</v>
      </c>
      <c r="F222" s="1976" t="s">
        <v>2654</v>
      </c>
      <c r="G222" s="1976" t="s">
        <v>18</v>
      </c>
      <c r="H222" s="1976" t="s">
        <v>18</v>
      </c>
      <c r="I222" s="1976" t="s">
        <v>730</v>
      </c>
    </row>
    <row r="223" spans="1:9" ht="11.25" customHeight="1">
      <c r="A223" s="1976" t="s">
        <v>2149</v>
      </c>
      <c r="B223" s="1976" t="s">
        <v>14</v>
      </c>
      <c r="C223" s="1976" t="s">
        <v>2655</v>
      </c>
      <c r="D223" s="1976" t="s">
        <v>2656</v>
      </c>
      <c r="E223" s="1976" t="s">
        <v>2657</v>
      </c>
      <c r="F223" s="1976" t="s">
        <v>2658</v>
      </c>
      <c r="G223" s="1976" t="s">
        <v>18</v>
      </c>
      <c r="H223" s="1976" t="s">
        <v>18</v>
      </c>
      <c r="I223" s="1976" t="s">
        <v>730</v>
      </c>
    </row>
    <row r="224" spans="1:9" ht="11.25" customHeight="1">
      <c r="A224" s="1976" t="s">
        <v>2149</v>
      </c>
      <c r="B224" s="1976" t="s">
        <v>14</v>
      </c>
      <c r="C224" s="1976" t="s">
        <v>2309</v>
      </c>
      <c r="D224" s="1976" t="s">
        <v>2310</v>
      </c>
      <c r="E224" s="1976" t="s">
        <v>2311</v>
      </c>
      <c r="F224" s="1976" t="s">
        <v>2236</v>
      </c>
      <c r="G224" s="1976" t="s">
        <v>18</v>
      </c>
      <c r="H224" s="1976" t="s">
        <v>18</v>
      </c>
      <c r="I224" s="1976" t="s">
        <v>730</v>
      </c>
    </row>
    <row r="225" spans="1:9" ht="11.25" customHeight="1">
      <c r="A225" s="1976" t="s">
        <v>2149</v>
      </c>
      <c r="B225" s="1976" t="s">
        <v>14</v>
      </c>
      <c r="C225" s="1976" t="s">
        <v>2659</v>
      </c>
      <c r="D225" s="1976" t="s">
        <v>2660</v>
      </c>
      <c r="E225" s="1976" t="s">
        <v>2661</v>
      </c>
      <c r="F225" s="1976" t="s">
        <v>2325</v>
      </c>
      <c r="G225" s="1976" t="s">
        <v>18</v>
      </c>
      <c r="H225" s="1976" t="s">
        <v>18</v>
      </c>
      <c r="I225" s="1976" t="s">
        <v>730</v>
      </c>
    </row>
    <row r="226" spans="1:9" ht="11.25" customHeight="1">
      <c r="A226" s="1976" t="s">
        <v>2149</v>
      </c>
      <c r="B226" s="1976" t="s">
        <v>14</v>
      </c>
      <c r="C226" s="1976" t="s">
        <v>2662</v>
      </c>
      <c r="D226" s="1976" t="s">
        <v>2663</v>
      </c>
      <c r="E226" s="1976" t="s">
        <v>2664</v>
      </c>
      <c r="F226" s="1976" t="s">
        <v>2280</v>
      </c>
      <c r="G226" s="1976" t="s">
        <v>18</v>
      </c>
      <c r="H226" s="1976" t="s">
        <v>18</v>
      </c>
      <c r="I226" s="1976" t="s">
        <v>730</v>
      </c>
    </row>
    <row r="227" spans="1:9" ht="11.25" customHeight="1">
      <c r="A227" s="1976" t="s">
        <v>2149</v>
      </c>
      <c r="B227" s="1976" t="s">
        <v>14</v>
      </c>
      <c r="C227" s="1976" t="s">
        <v>2312</v>
      </c>
      <c r="D227" s="1976" t="s">
        <v>2313</v>
      </c>
      <c r="E227" s="1976" t="s">
        <v>2314</v>
      </c>
      <c r="F227" s="1976" t="s">
        <v>2186</v>
      </c>
      <c r="G227" s="1976" t="s">
        <v>18</v>
      </c>
      <c r="H227" s="1976" t="s">
        <v>18</v>
      </c>
      <c r="I227" s="1976" t="s">
        <v>730</v>
      </c>
    </row>
    <row r="228" spans="1:9" ht="11.25" customHeight="1">
      <c r="A228" s="1976" t="s">
        <v>2149</v>
      </c>
      <c r="B228" s="1976" t="s">
        <v>14</v>
      </c>
      <c r="C228" s="1976" t="s">
        <v>2315</v>
      </c>
      <c r="D228" s="1976" t="s">
        <v>2316</v>
      </c>
      <c r="E228" s="1976" t="s">
        <v>2317</v>
      </c>
      <c r="F228" s="1976" t="s">
        <v>2229</v>
      </c>
      <c r="G228" s="1976" t="s">
        <v>18</v>
      </c>
      <c r="H228" s="1976" t="s">
        <v>18</v>
      </c>
      <c r="I228" s="1976" t="s">
        <v>730</v>
      </c>
    </row>
    <row r="229" spans="1:9" ht="11.25" customHeight="1">
      <c r="A229" s="1976" t="s">
        <v>2149</v>
      </c>
      <c r="B229" s="1976" t="s">
        <v>14</v>
      </c>
      <c r="C229" s="1976" t="s">
        <v>2665</v>
      </c>
      <c r="D229" s="1976" t="s">
        <v>2666</v>
      </c>
      <c r="E229" s="1976" t="s">
        <v>2667</v>
      </c>
      <c r="F229" s="1976" t="s">
        <v>2240</v>
      </c>
      <c r="G229" s="1976" t="s">
        <v>2668</v>
      </c>
      <c r="H229" s="1976" t="s">
        <v>18</v>
      </c>
      <c r="I229" s="1976" t="s">
        <v>730</v>
      </c>
    </row>
    <row r="230" spans="1:9" ht="11.25" customHeight="1">
      <c r="A230" s="1976" t="s">
        <v>2149</v>
      </c>
      <c r="B230" s="1976" t="s">
        <v>14</v>
      </c>
      <c r="C230" s="1976" t="s">
        <v>2669</v>
      </c>
      <c r="D230" s="1976" t="s">
        <v>2670</v>
      </c>
      <c r="E230" s="1976" t="s">
        <v>2671</v>
      </c>
      <c r="F230" s="1976" t="s">
        <v>2301</v>
      </c>
      <c r="G230" s="1976" t="s">
        <v>18</v>
      </c>
      <c r="H230" s="1976" t="s">
        <v>18</v>
      </c>
      <c r="I230" s="1976" t="s">
        <v>730</v>
      </c>
    </row>
    <row r="231" spans="1:9" ht="11.25" customHeight="1">
      <c r="A231" s="1976" t="s">
        <v>2149</v>
      </c>
      <c r="B231" s="1976" t="s">
        <v>14</v>
      </c>
      <c r="C231" s="1976" t="s">
        <v>2672</v>
      </c>
      <c r="D231" s="1976" t="s">
        <v>2673</v>
      </c>
      <c r="E231" s="1976" t="s">
        <v>2674</v>
      </c>
      <c r="F231" s="1976" t="s">
        <v>2301</v>
      </c>
      <c r="G231" s="1976" t="s">
        <v>2675</v>
      </c>
      <c r="H231" s="1976" t="s">
        <v>18</v>
      </c>
      <c r="I231" s="1976" t="s">
        <v>730</v>
      </c>
    </row>
    <row r="232" spans="1:9" ht="11.25" customHeight="1">
      <c r="A232" s="1976" t="s">
        <v>2149</v>
      </c>
      <c r="B232" s="1976" t="s">
        <v>14</v>
      </c>
      <c r="C232" s="1976" t="s">
        <v>2322</v>
      </c>
      <c r="D232" s="1976" t="s">
        <v>2323</v>
      </c>
      <c r="E232" s="1976" t="s">
        <v>2324</v>
      </c>
      <c r="F232" s="1976" t="s">
        <v>2325</v>
      </c>
      <c r="G232" s="1976" t="s">
        <v>18</v>
      </c>
      <c r="H232" s="1976" t="s">
        <v>18</v>
      </c>
      <c r="I232" s="1976" t="s">
        <v>730</v>
      </c>
    </row>
    <row r="233" spans="1:9" ht="11.25" customHeight="1">
      <c r="A233" s="1976" t="s">
        <v>2149</v>
      </c>
      <c r="B233" s="1976" t="s">
        <v>14</v>
      </c>
      <c r="C233" s="1976" t="s">
        <v>2676</v>
      </c>
      <c r="D233" s="1976" t="s">
        <v>2677</v>
      </c>
      <c r="E233" s="1976" t="s">
        <v>2678</v>
      </c>
      <c r="F233" s="1976" t="s">
        <v>2325</v>
      </c>
      <c r="G233" s="1976" t="s">
        <v>18</v>
      </c>
      <c r="H233" s="1976" t="s">
        <v>18</v>
      </c>
      <c r="I233" s="1976" t="s">
        <v>730</v>
      </c>
    </row>
    <row r="234" spans="1:9" ht="11.25" customHeight="1">
      <c r="A234" s="1976" t="s">
        <v>2149</v>
      </c>
      <c r="B234" s="1976" t="s">
        <v>14</v>
      </c>
      <c r="C234" s="1976" t="s">
        <v>2679</v>
      </c>
      <c r="D234" s="1976" t="s">
        <v>2680</v>
      </c>
      <c r="E234" s="1976" t="s">
        <v>2681</v>
      </c>
      <c r="F234" s="1976" t="s">
        <v>2325</v>
      </c>
      <c r="G234" s="1976" t="s">
        <v>18</v>
      </c>
      <c r="H234" s="1976" t="s">
        <v>18</v>
      </c>
      <c r="I234" s="1976" t="s">
        <v>730</v>
      </c>
    </row>
    <row r="235" spans="1:9" ht="11.25" customHeight="1">
      <c r="A235" s="1976" t="s">
        <v>2149</v>
      </c>
      <c r="B235" s="1976" t="s">
        <v>14</v>
      </c>
      <c r="C235" s="1976" t="s">
        <v>2682</v>
      </c>
      <c r="D235" s="1976" t="s">
        <v>2683</v>
      </c>
      <c r="E235" s="1976" t="s">
        <v>2684</v>
      </c>
      <c r="F235" s="1976" t="s">
        <v>2294</v>
      </c>
      <c r="G235" s="1976" t="s">
        <v>2685</v>
      </c>
      <c r="H235" s="1976" t="s">
        <v>18</v>
      </c>
      <c r="I235" s="1976" t="s">
        <v>730</v>
      </c>
    </row>
    <row r="236" spans="1:9" ht="11.25" customHeight="1">
      <c r="A236" s="1976" t="s">
        <v>2149</v>
      </c>
      <c r="B236" s="1976" t="s">
        <v>14</v>
      </c>
      <c r="C236" s="1976" t="s">
        <v>2326</v>
      </c>
      <c r="D236" s="1976" t="s">
        <v>2327</v>
      </c>
      <c r="E236" s="1976" t="s">
        <v>2328</v>
      </c>
      <c r="F236" s="1976" t="s">
        <v>2294</v>
      </c>
      <c r="G236" s="1976" t="s">
        <v>18</v>
      </c>
      <c r="H236" s="1976" t="s">
        <v>18</v>
      </c>
      <c r="I236" s="1976" t="s">
        <v>730</v>
      </c>
    </row>
    <row r="237" spans="1:9" ht="11.25" customHeight="1">
      <c r="A237" s="1976" t="s">
        <v>2149</v>
      </c>
      <c r="B237" s="1976" t="s">
        <v>14</v>
      </c>
      <c r="C237" s="1976" t="s">
        <v>2686</v>
      </c>
      <c r="D237" s="1976" t="s">
        <v>2687</v>
      </c>
      <c r="E237" s="1976" t="s">
        <v>2688</v>
      </c>
      <c r="F237" s="1976" t="s">
        <v>2294</v>
      </c>
      <c r="G237" s="1976" t="s">
        <v>18</v>
      </c>
      <c r="H237" s="1976" t="s">
        <v>18</v>
      </c>
      <c r="I237" s="1976" t="s">
        <v>730</v>
      </c>
    </row>
    <row r="238" spans="1:9" ht="11.25" customHeight="1">
      <c r="A238" s="1976" t="s">
        <v>2149</v>
      </c>
      <c r="B238" s="1976" t="s">
        <v>14</v>
      </c>
      <c r="C238" s="1976" t="s">
        <v>2689</v>
      </c>
      <c r="D238" s="1976" t="s">
        <v>2690</v>
      </c>
      <c r="E238" s="1976" t="s">
        <v>2691</v>
      </c>
      <c r="F238" s="1976" t="s">
        <v>2294</v>
      </c>
      <c r="G238" s="1976" t="s">
        <v>18</v>
      </c>
      <c r="H238" s="1976" t="s">
        <v>18</v>
      </c>
      <c r="I238" s="1976" t="s">
        <v>730</v>
      </c>
    </row>
    <row r="239" spans="1:9" ht="11.25" customHeight="1">
      <c r="A239" s="1976" t="s">
        <v>2149</v>
      </c>
      <c r="B239" s="1976" t="s">
        <v>14</v>
      </c>
      <c r="C239" s="1976" t="s">
        <v>2692</v>
      </c>
      <c r="D239" s="1976" t="s">
        <v>2693</v>
      </c>
      <c r="E239" s="1976" t="s">
        <v>2694</v>
      </c>
      <c r="F239" s="1976" t="s">
        <v>2294</v>
      </c>
      <c r="G239" s="1976" t="s">
        <v>18</v>
      </c>
      <c r="H239" s="1976" t="s">
        <v>18</v>
      </c>
      <c r="I239" s="1976" t="s">
        <v>730</v>
      </c>
    </row>
    <row r="240" spans="1:9" ht="11.25" customHeight="1">
      <c r="A240" s="1976" t="s">
        <v>2149</v>
      </c>
      <c r="B240" s="1976" t="s">
        <v>14</v>
      </c>
      <c r="C240" s="1976" t="s">
        <v>2695</v>
      </c>
      <c r="D240" s="1976" t="s">
        <v>2696</v>
      </c>
      <c r="E240" s="1976" t="s">
        <v>2697</v>
      </c>
      <c r="F240" s="1976" t="s">
        <v>2294</v>
      </c>
      <c r="G240" s="1976" t="s">
        <v>18</v>
      </c>
      <c r="H240" s="1976" t="s">
        <v>18</v>
      </c>
      <c r="I240" s="1976" t="s">
        <v>730</v>
      </c>
    </row>
    <row r="241" spans="1:9" ht="11.25" customHeight="1">
      <c r="A241" s="1976" t="s">
        <v>2149</v>
      </c>
      <c r="B241" s="1976" t="s">
        <v>14</v>
      </c>
      <c r="C241" s="1976" t="s">
        <v>2698</v>
      </c>
      <c r="D241" s="1976" t="s">
        <v>2699</v>
      </c>
      <c r="E241" s="1976" t="s">
        <v>2700</v>
      </c>
      <c r="F241" s="1976" t="s">
        <v>2294</v>
      </c>
      <c r="G241" s="1976" t="s">
        <v>18</v>
      </c>
      <c r="H241" s="1976" t="s">
        <v>18</v>
      </c>
      <c r="I241" s="1976" t="s">
        <v>730</v>
      </c>
    </row>
    <row r="242" spans="1:9" ht="11.25" customHeight="1">
      <c r="A242" s="1976" t="s">
        <v>2149</v>
      </c>
      <c r="B242" s="1976" t="s">
        <v>14</v>
      </c>
      <c r="C242" s="1976" t="s">
        <v>2701</v>
      </c>
      <c r="D242" s="1976" t="s">
        <v>2702</v>
      </c>
      <c r="E242" s="1976" t="s">
        <v>2703</v>
      </c>
      <c r="F242" s="1976" t="s">
        <v>2294</v>
      </c>
      <c r="G242" s="1976" t="s">
        <v>18</v>
      </c>
      <c r="H242" s="1976" t="s">
        <v>18</v>
      </c>
      <c r="I242" s="1976" t="s">
        <v>730</v>
      </c>
    </row>
    <row r="243" spans="1:9" ht="11.25" customHeight="1">
      <c r="A243" s="1976" t="s">
        <v>2149</v>
      </c>
      <c r="B243" s="1976" t="s">
        <v>14</v>
      </c>
      <c r="C243" s="1976" t="s">
        <v>2704</v>
      </c>
      <c r="D243" s="1976" t="s">
        <v>2705</v>
      </c>
      <c r="E243" s="1976" t="s">
        <v>2706</v>
      </c>
      <c r="F243" s="1976" t="s">
        <v>2294</v>
      </c>
      <c r="G243" s="1976" t="s">
        <v>18</v>
      </c>
      <c r="H243" s="1976" t="s">
        <v>18</v>
      </c>
      <c r="I243" s="1976" t="s">
        <v>730</v>
      </c>
    </row>
    <row r="244" spans="1:9" ht="11.25" customHeight="1">
      <c r="A244" s="1976" t="s">
        <v>2149</v>
      </c>
      <c r="B244" s="1976" t="s">
        <v>14</v>
      </c>
      <c r="C244" s="1976" t="s">
        <v>2329</v>
      </c>
      <c r="D244" s="1976" t="s">
        <v>2330</v>
      </c>
      <c r="E244" s="1976" t="s">
        <v>2331</v>
      </c>
      <c r="F244" s="1976" t="s">
        <v>2264</v>
      </c>
      <c r="G244" s="1976" t="s">
        <v>18</v>
      </c>
      <c r="H244" s="1976" t="s">
        <v>18</v>
      </c>
      <c r="I244" s="1976" t="s">
        <v>730</v>
      </c>
    </row>
    <row r="245" spans="1:9" ht="11.25" customHeight="1">
      <c r="A245" s="1976" t="s">
        <v>2149</v>
      </c>
      <c r="B245" s="1976" t="s">
        <v>14</v>
      </c>
      <c r="C245" s="1976" t="s">
        <v>2332</v>
      </c>
      <c r="D245" s="1976" t="s">
        <v>2333</v>
      </c>
      <c r="E245" s="1976" t="s">
        <v>2334</v>
      </c>
      <c r="F245" s="1976" t="s">
        <v>2229</v>
      </c>
      <c r="G245" s="1976" t="s">
        <v>18</v>
      </c>
      <c r="H245" s="1976" t="s">
        <v>18</v>
      </c>
      <c r="I245" s="1976" t="s">
        <v>730</v>
      </c>
    </row>
    <row r="246" spans="1:9" ht="11.25" customHeight="1">
      <c r="A246" s="1976" t="s">
        <v>2149</v>
      </c>
      <c r="B246" s="1976" t="s">
        <v>14</v>
      </c>
      <c r="C246" s="1976" t="s">
        <v>2335</v>
      </c>
      <c r="D246" s="1976" t="s">
        <v>2336</v>
      </c>
      <c r="E246" s="1976" t="s">
        <v>2337</v>
      </c>
      <c r="F246" s="1976" t="s">
        <v>2264</v>
      </c>
      <c r="G246" s="1976" t="s">
        <v>18</v>
      </c>
      <c r="H246" s="1976" t="s">
        <v>18</v>
      </c>
      <c r="I246" s="1976" t="s">
        <v>730</v>
      </c>
    </row>
    <row r="247" spans="1:9" ht="11.25" customHeight="1">
      <c r="A247" s="1976" t="s">
        <v>2149</v>
      </c>
      <c r="B247" s="1976" t="s">
        <v>14</v>
      </c>
      <c r="C247" s="1976" t="s">
        <v>2338</v>
      </c>
      <c r="D247" s="1976" t="s">
        <v>2339</v>
      </c>
      <c r="E247" s="1976" t="s">
        <v>2340</v>
      </c>
      <c r="F247" s="1976" t="s">
        <v>2229</v>
      </c>
      <c r="G247" s="1976" t="s">
        <v>2341</v>
      </c>
      <c r="H247" s="1976" t="s">
        <v>18</v>
      </c>
      <c r="I247" s="1976" t="s">
        <v>730</v>
      </c>
    </row>
    <row r="248" spans="1:9" ht="11.25" customHeight="1">
      <c r="A248" s="1976" t="s">
        <v>2149</v>
      </c>
      <c r="B248" s="1976" t="s">
        <v>14</v>
      </c>
      <c r="C248" s="1976" t="s">
        <v>2342</v>
      </c>
      <c r="D248" s="1976" t="s">
        <v>2343</v>
      </c>
      <c r="E248" s="1976" t="s">
        <v>2344</v>
      </c>
      <c r="F248" s="1976" t="s">
        <v>2264</v>
      </c>
      <c r="G248" s="1976" t="s">
        <v>2345</v>
      </c>
      <c r="H248" s="1976" t="s">
        <v>18</v>
      </c>
      <c r="I248" s="1976" t="s">
        <v>730</v>
      </c>
    </row>
    <row r="249" spans="1:9" ht="11.25" customHeight="1">
      <c r="A249" s="1976" t="s">
        <v>2149</v>
      </c>
      <c r="B249" s="1976" t="s">
        <v>14</v>
      </c>
      <c r="C249" s="1976" t="s">
        <v>2707</v>
      </c>
      <c r="D249" s="1976" t="s">
        <v>2343</v>
      </c>
      <c r="E249" s="1976" t="s">
        <v>2708</v>
      </c>
      <c r="F249" s="1976" t="s">
        <v>2709</v>
      </c>
      <c r="G249" s="1976" t="s">
        <v>18</v>
      </c>
      <c r="H249" s="1976" t="s">
        <v>18</v>
      </c>
      <c r="I249" s="1976" t="s">
        <v>730</v>
      </c>
    </row>
    <row r="250" spans="1:9" ht="11.25" customHeight="1">
      <c r="A250" s="1976" t="s">
        <v>2149</v>
      </c>
      <c r="B250" s="1976" t="s">
        <v>14</v>
      </c>
      <c r="C250" s="1976" t="s">
        <v>2710</v>
      </c>
      <c r="D250" s="1976" t="s">
        <v>2711</v>
      </c>
      <c r="E250" s="1976" t="s">
        <v>2712</v>
      </c>
      <c r="F250" s="1976" t="s">
        <v>2294</v>
      </c>
      <c r="G250" s="1976" t="s">
        <v>18</v>
      </c>
      <c r="H250" s="1976" t="s">
        <v>18</v>
      </c>
      <c r="I250" s="1976" t="s">
        <v>730</v>
      </c>
    </row>
    <row r="251" spans="1:9" ht="11.25" customHeight="1">
      <c r="A251" s="1976" t="s">
        <v>2149</v>
      </c>
      <c r="B251" s="1976" t="s">
        <v>14</v>
      </c>
      <c r="C251" s="1976" t="s">
        <v>2713</v>
      </c>
      <c r="D251" s="1976" t="s">
        <v>2714</v>
      </c>
      <c r="E251" s="1976" t="s">
        <v>2715</v>
      </c>
      <c r="F251" s="1976" t="s">
        <v>2294</v>
      </c>
      <c r="G251" s="1976" t="s">
        <v>18</v>
      </c>
      <c r="H251" s="1976" t="s">
        <v>18</v>
      </c>
      <c r="I251" s="1976" t="s">
        <v>730</v>
      </c>
    </row>
    <row r="252" spans="1:9" ht="11.25" customHeight="1">
      <c r="A252" s="1976" t="s">
        <v>2149</v>
      </c>
      <c r="B252" s="1976" t="s">
        <v>14</v>
      </c>
      <c r="C252" s="1976" t="s">
        <v>2716</v>
      </c>
      <c r="D252" s="1976" t="s">
        <v>2717</v>
      </c>
      <c r="E252" s="1976" t="s">
        <v>2718</v>
      </c>
      <c r="F252" s="1976" t="s">
        <v>2264</v>
      </c>
      <c r="G252" s="1976" t="s">
        <v>18</v>
      </c>
      <c r="H252" s="1976" t="s">
        <v>18</v>
      </c>
      <c r="I252" s="1976" t="s">
        <v>730</v>
      </c>
    </row>
    <row r="253" spans="1:9" ht="11.25" customHeight="1">
      <c r="A253" s="1976" t="s">
        <v>2149</v>
      </c>
      <c r="B253" s="1976" t="s">
        <v>14</v>
      </c>
      <c r="C253" s="1976" t="s">
        <v>2350</v>
      </c>
      <c r="D253" s="1976" t="s">
        <v>2351</v>
      </c>
      <c r="E253" s="1976" t="s">
        <v>2352</v>
      </c>
      <c r="F253" s="1976" t="s">
        <v>2325</v>
      </c>
      <c r="G253" s="1976" t="s">
        <v>18</v>
      </c>
      <c r="H253" s="1976" t="s">
        <v>18</v>
      </c>
      <c r="I253" s="1976" t="s">
        <v>730</v>
      </c>
    </row>
    <row r="254" spans="1:9" ht="11.25" customHeight="1">
      <c r="A254" s="1976" t="s">
        <v>2149</v>
      </c>
      <c r="B254" s="1976" t="s">
        <v>14</v>
      </c>
      <c r="C254" s="1976" t="s">
        <v>2719</v>
      </c>
      <c r="D254" s="1976" t="s">
        <v>2720</v>
      </c>
      <c r="E254" s="1976" t="s">
        <v>2721</v>
      </c>
      <c r="F254" s="1976" t="s">
        <v>2471</v>
      </c>
      <c r="G254" s="1976" t="s">
        <v>18</v>
      </c>
      <c r="H254" s="1976" t="s">
        <v>18</v>
      </c>
      <c r="I254" s="1976" t="s">
        <v>730</v>
      </c>
    </row>
    <row r="255" spans="1:9" ht="11.25" customHeight="1">
      <c r="A255" s="1976" t="s">
        <v>2149</v>
      </c>
      <c r="B255" s="1976" t="s">
        <v>14</v>
      </c>
      <c r="C255" s="1976" t="s">
        <v>2722</v>
      </c>
      <c r="D255" s="1976" t="s">
        <v>2723</v>
      </c>
      <c r="E255" s="1976" t="s">
        <v>2205</v>
      </c>
      <c r="F255" s="1976" t="s">
        <v>2724</v>
      </c>
      <c r="G255" s="1976" t="s">
        <v>18</v>
      </c>
      <c r="H255" s="1976" t="s">
        <v>18</v>
      </c>
      <c r="I255" s="1976" t="s">
        <v>730</v>
      </c>
    </row>
    <row r="256" spans="1:9" ht="11.25" customHeight="1">
      <c r="A256" s="1976" t="s">
        <v>2149</v>
      </c>
      <c r="B256" s="1976" t="s">
        <v>14</v>
      </c>
      <c r="C256" s="1976" t="s">
        <v>2356</v>
      </c>
      <c r="D256" s="1976" t="s">
        <v>2357</v>
      </c>
      <c r="E256" s="1976" t="s">
        <v>2358</v>
      </c>
      <c r="F256" s="1976" t="s">
        <v>2294</v>
      </c>
      <c r="G256" s="1976" t="s">
        <v>18</v>
      </c>
      <c r="H256" s="1976" t="s">
        <v>18</v>
      </c>
      <c r="I256" s="1976" t="s">
        <v>730</v>
      </c>
    </row>
    <row r="257" spans="1:9" ht="11.25" customHeight="1">
      <c r="A257" s="1976" t="s">
        <v>2149</v>
      </c>
      <c r="B257" s="1976" t="s">
        <v>14</v>
      </c>
      <c r="C257" s="1976" t="s">
        <v>2725</v>
      </c>
      <c r="D257" s="1976" t="s">
        <v>2726</v>
      </c>
      <c r="E257" s="1976" t="s">
        <v>2727</v>
      </c>
      <c r="F257" s="1976" t="s">
        <v>2349</v>
      </c>
      <c r="G257" s="1976" t="s">
        <v>18</v>
      </c>
      <c r="H257" s="1976" t="s">
        <v>18</v>
      </c>
      <c r="I257" s="1976" t="s">
        <v>730</v>
      </c>
    </row>
    <row r="258" spans="1:9" ht="11.25" customHeight="1">
      <c r="A258" s="1976" t="s">
        <v>2149</v>
      </c>
      <c r="B258" s="1976" t="s">
        <v>14</v>
      </c>
      <c r="C258" s="1976" t="s">
        <v>2728</v>
      </c>
      <c r="D258" s="1976" t="s">
        <v>2729</v>
      </c>
      <c r="E258" s="1976" t="s">
        <v>2730</v>
      </c>
      <c r="F258" s="1976" t="s">
        <v>2294</v>
      </c>
      <c r="G258" s="1976" t="s">
        <v>18</v>
      </c>
      <c r="H258" s="1976" t="s">
        <v>18</v>
      </c>
      <c r="I258" s="1976" t="s">
        <v>730</v>
      </c>
    </row>
    <row r="259" spans="1:9" ht="11.25" customHeight="1">
      <c r="A259" s="1976" t="s">
        <v>2149</v>
      </c>
      <c r="B259" s="1976" t="s">
        <v>14</v>
      </c>
      <c r="C259" s="1976" t="s">
        <v>2731</v>
      </c>
      <c r="D259" s="1976" t="s">
        <v>2732</v>
      </c>
      <c r="E259" s="1976" t="s">
        <v>2733</v>
      </c>
      <c r="F259" s="1976" t="s">
        <v>2471</v>
      </c>
      <c r="G259" s="1976" t="s">
        <v>18</v>
      </c>
      <c r="H259" s="1976" t="s">
        <v>18</v>
      </c>
      <c r="I259" s="1976" t="s">
        <v>730</v>
      </c>
    </row>
    <row r="260" spans="1:9" ht="11.25" customHeight="1">
      <c r="A260" s="1976" t="s">
        <v>2149</v>
      </c>
      <c r="B260" s="1976" t="s">
        <v>14</v>
      </c>
      <c r="C260" s="1976" t="s">
        <v>2734</v>
      </c>
      <c r="D260" s="1976" t="s">
        <v>2735</v>
      </c>
      <c r="E260" s="1976" t="s">
        <v>2736</v>
      </c>
      <c r="F260" s="1976" t="s">
        <v>2301</v>
      </c>
      <c r="G260" s="1976" t="s">
        <v>18</v>
      </c>
      <c r="H260" s="1976" t="s">
        <v>18</v>
      </c>
      <c r="I260" s="1976" t="s">
        <v>730</v>
      </c>
    </row>
    <row r="261" spans="1:9" ht="11.25" customHeight="1">
      <c r="A261" s="1976" t="s">
        <v>2149</v>
      </c>
      <c r="B261" s="1976" t="s">
        <v>14</v>
      </c>
      <c r="C261" s="1976" t="s">
        <v>2737</v>
      </c>
      <c r="D261" s="1976" t="s">
        <v>2738</v>
      </c>
      <c r="E261" s="1976" t="s">
        <v>2739</v>
      </c>
      <c r="F261" s="1976" t="s">
        <v>2260</v>
      </c>
      <c r="G261" s="1976" t="s">
        <v>18</v>
      </c>
      <c r="H261" s="1976" t="s">
        <v>18</v>
      </c>
      <c r="I261" s="1976" t="s">
        <v>730</v>
      </c>
    </row>
    <row r="262" spans="1:9" ht="11.25" customHeight="1">
      <c r="A262" s="1976" t="s">
        <v>2149</v>
      </c>
      <c r="B262" s="1976" t="s">
        <v>14</v>
      </c>
      <c r="C262" s="1976" t="s">
        <v>2740</v>
      </c>
      <c r="D262" s="1976" t="s">
        <v>2741</v>
      </c>
      <c r="E262" s="1976" t="s">
        <v>2742</v>
      </c>
      <c r="F262" s="1976" t="s">
        <v>2430</v>
      </c>
      <c r="G262" s="1976" t="s">
        <v>18</v>
      </c>
      <c r="H262" s="1976" t="s">
        <v>18</v>
      </c>
      <c r="I262" s="1976" t="s">
        <v>730</v>
      </c>
    </row>
    <row r="263" spans="1:9" ht="11.25" customHeight="1">
      <c r="A263" s="1976" t="s">
        <v>2149</v>
      </c>
      <c r="B263" s="1976" t="s">
        <v>14</v>
      </c>
      <c r="C263" s="1976" t="s">
        <v>2743</v>
      </c>
      <c r="D263" s="1976" t="s">
        <v>2744</v>
      </c>
      <c r="E263" s="1976" t="s">
        <v>2745</v>
      </c>
      <c r="F263" s="1976" t="s">
        <v>2579</v>
      </c>
      <c r="G263" s="1976" t="s">
        <v>2746</v>
      </c>
      <c r="H263" s="1976" t="s">
        <v>18</v>
      </c>
      <c r="I263" s="1976" t="s">
        <v>730</v>
      </c>
    </row>
    <row r="264" spans="1:9" ht="11.25" customHeight="1">
      <c r="A264" s="1976" t="s">
        <v>2149</v>
      </c>
      <c r="B264" s="1976" t="s">
        <v>14</v>
      </c>
      <c r="C264" s="1976" t="s">
        <v>2747</v>
      </c>
      <c r="D264" s="1976" t="s">
        <v>2748</v>
      </c>
      <c r="E264" s="1976" t="s">
        <v>2749</v>
      </c>
      <c r="F264" s="1976" t="s">
        <v>2160</v>
      </c>
      <c r="G264" s="1976" t="s">
        <v>18</v>
      </c>
      <c r="H264" s="1976" t="s">
        <v>18</v>
      </c>
      <c r="I264" s="1976" t="s">
        <v>730</v>
      </c>
    </row>
    <row r="265" spans="1:9" ht="11.25" customHeight="1">
      <c r="A265" s="1976" t="s">
        <v>2149</v>
      </c>
      <c r="B265" s="1976" t="s">
        <v>14</v>
      </c>
      <c r="C265" s="1976" t="s">
        <v>2750</v>
      </c>
      <c r="D265" s="1976" t="s">
        <v>2751</v>
      </c>
      <c r="E265" s="1976" t="s">
        <v>2752</v>
      </c>
      <c r="F265" s="1976" t="s">
        <v>2179</v>
      </c>
      <c r="G265" s="1976" t="s">
        <v>2753</v>
      </c>
      <c r="H265" s="1976" t="s">
        <v>18</v>
      </c>
      <c r="I265" s="1976" t="s">
        <v>730</v>
      </c>
    </row>
    <row r="266" spans="1:9" ht="11.25" customHeight="1">
      <c r="A266" s="1976" t="s">
        <v>2149</v>
      </c>
      <c r="B266" s="1976" t="s">
        <v>14</v>
      </c>
      <c r="C266" s="1976" t="s">
        <v>2754</v>
      </c>
      <c r="D266" s="1976" t="s">
        <v>2755</v>
      </c>
      <c r="E266" s="1976" t="s">
        <v>2756</v>
      </c>
      <c r="F266" s="1976" t="s">
        <v>2260</v>
      </c>
      <c r="G266" s="1976" t="s">
        <v>18</v>
      </c>
      <c r="H266" s="1976" t="s">
        <v>18</v>
      </c>
      <c r="I266" s="1976" t="s">
        <v>730</v>
      </c>
    </row>
    <row r="267" spans="1:9" ht="11.25" customHeight="1">
      <c r="A267" s="1976" t="s">
        <v>2149</v>
      </c>
      <c r="B267" s="1976" t="s">
        <v>14</v>
      </c>
      <c r="C267" s="1976" t="s">
        <v>2757</v>
      </c>
      <c r="D267" s="1976" t="s">
        <v>2370</v>
      </c>
      <c r="E267" s="1976" t="s">
        <v>2758</v>
      </c>
      <c r="F267" s="1976" t="s">
        <v>2256</v>
      </c>
      <c r="G267" s="1976" t="s">
        <v>18</v>
      </c>
      <c r="H267" s="1976" t="s">
        <v>18</v>
      </c>
      <c r="I267" s="1976" t="s">
        <v>730</v>
      </c>
    </row>
    <row r="268" spans="1:9" ht="11.25" customHeight="1">
      <c r="A268" s="1976" t="s">
        <v>2149</v>
      </c>
      <c r="B268" s="1976" t="s">
        <v>14</v>
      </c>
      <c r="C268" s="1976" t="s">
        <v>2759</v>
      </c>
      <c r="D268" s="1976" t="s">
        <v>2370</v>
      </c>
      <c r="E268" s="1976" t="s">
        <v>2760</v>
      </c>
      <c r="F268" s="1976" t="s">
        <v>2349</v>
      </c>
      <c r="G268" s="1976" t="s">
        <v>18</v>
      </c>
      <c r="H268" s="1976" t="s">
        <v>18</v>
      </c>
      <c r="I268" s="1976" t="s">
        <v>730</v>
      </c>
    </row>
    <row r="269" spans="1:9" ht="11.25" customHeight="1">
      <c r="A269" s="1976" t="s">
        <v>2149</v>
      </c>
      <c r="B269" s="1976" t="s">
        <v>14</v>
      </c>
      <c r="C269" s="1976" t="s">
        <v>2369</v>
      </c>
      <c r="D269" s="1976" t="s">
        <v>2370</v>
      </c>
      <c r="E269" s="1976" t="s">
        <v>2371</v>
      </c>
      <c r="F269" s="1976" t="s">
        <v>2229</v>
      </c>
      <c r="G269" s="1976" t="s">
        <v>18</v>
      </c>
      <c r="H269" s="1976" t="s">
        <v>18</v>
      </c>
      <c r="I269" s="1976" t="s">
        <v>730</v>
      </c>
    </row>
    <row r="270" spans="1:9" ht="11.25" customHeight="1">
      <c r="A270" s="1976" t="s">
        <v>2149</v>
      </c>
      <c r="B270" s="1976" t="s">
        <v>14</v>
      </c>
      <c r="C270" s="1976" t="s">
        <v>2761</v>
      </c>
      <c r="D270" s="1976" t="s">
        <v>2762</v>
      </c>
      <c r="E270" s="1976" t="s">
        <v>2763</v>
      </c>
      <c r="F270" s="1976" t="s">
        <v>2597</v>
      </c>
      <c r="G270" s="1976" t="s">
        <v>18</v>
      </c>
      <c r="H270" s="1976" t="s">
        <v>18</v>
      </c>
      <c r="I270" s="1976" t="s">
        <v>730</v>
      </c>
    </row>
    <row r="271" spans="1:9" ht="11.25" customHeight="1">
      <c r="A271" s="1976" t="s">
        <v>2149</v>
      </c>
      <c r="B271" s="1976" t="s">
        <v>14</v>
      </c>
      <c r="C271" s="1976" t="s">
        <v>2764</v>
      </c>
      <c r="D271" s="1976" t="s">
        <v>2762</v>
      </c>
      <c r="E271" s="1976" t="s">
        <v>2765</v>
      </c>
      <c r="F271" s="1976" t="s">
        <v>2251</v>
      </c>
      <c r="G271" s="1976" t="s">
        <v>18</v>
      </c>
      <c r="H271" s="1976" t="s">
        <v>18</v>
      </c>
      <c r="I271" s="1976" t="s">
        <v>730</v>
      </c>
    </row>
    <row r="272" spans="1:9" ht="11.25" customHeight="1">
      <c r="A272" s="1976" t="s">
        <v>2149</v>
      </c>
      <c r="B272" s="1976" t="s">
        <v>14</v>
      </c>
      <c r="C272" s="1976" t="s">
        <v>2766</v>
      </c>
      <c r="D272" s="1976" t="s">
        <v>2767</v>
      </c>
      <c r="E272" s="1976" t="s">
        <v>2768</v>
      </c>
      <c r="F272" s="1976" t="s">
        <v>2236</v>
      </c>
      <c r="G272" s="1976" t="s">
        <v>18</v>
      </c>
      <c r="H272" s="1976" t="s">
        <v>18</v>
      </c>
      <c r="I272" s="1976" t="s">
        <v>730</v>
      </c>
    </row>
    <row r="273" spans="1:9" ht="11.25" customHeight="1">
      <c r="A273" s="1976" t="s">
        <v>2149</v>
      </c>
      <c r="B273" s="1976" t="s">
        <v>14</v>
      </c>
      <c r="C273" s="1976" t="s">
        <v>2769</v>
      </c>
      <c r="D273" s="1976" t="s">
        <v>2770</v>
      </c>
      <c r="E273" s="1976" t="s">
        <v>2771</v>
      </c>
      <c r="F273" s="1976" t="s">
        <v>2186</v>
      </c>
      <c r="G273" s="1976" t="s">
        <v>18</v>
      </c>
      <c r="H273" s="1976" t="s">
        <v>18</v>
      </c>
      <c r="I273" s="1976" t="s">
        <v>730</v>
      </c>
    </row>
    <row r="274" spans="1:9" ht="11.25" customHeight="1">
      <c r="A274" s="1976" t="s">
        <v>2149</v>
      </c>
      <c r="B274" s="1976" t="s">
        <v>14</v>
      </c>
      <c r="C274" s="1976" t="s">
        <v>2772</v>
      </c>
      <c r="D274" s="1976" t="s">
        <v>2773</v>
      </c>
      <c r="E274" s="1976" t="s">
        <v>2774</v>
      </c>
      <c r="F274" s="1976" t="s">
        <v>2325</v>
      </c>
      <c r="G274" s="1976" t="s">
        <v>18</v>
      </c>
      <c r="H274" s="1976" t="s">
        <v>18</v>
      </c>
      <c r="I274" s="1976" t="s">
        <v>730</v>
      </c>
    </row>
    <row r="275" spans="1:9" ht="11.25" customHeight="1">
      <c r="A275" s="1976" t="s">
        <v>2149</v>
      </c>
      <c r="B275" s="1976" t="s">
        <v>14</v>
      </c>
      <c r="C275" s="1976" t="s">
        <v>2775</v>
      </c>
      <c r="D275" s="1976" t="s">
        <v>2776</v>
      </c>
      <c r="E275" s="1976" t="s">
        <v>2777</v>
      </c>
      <c r="F275" s="1976" t="s">
        <v>2430</v>
      </c>
      <c r="G275" s="1976" t="s">
        <v>18</v>
      </c>
      <c r="H275" s="1976" t="s">
        <v>18</v>
      </c>
      <c r="I275" s="1976" t="s">
        <v>730</v>
      </c>
    </row>
    <row r="276" spans="1:9" ht="11.25" customHeight="1">
      <c r="A276" s="1976" t="s">
        <v>2149</v>
      </c>
      <c r="B276" s="1976" t="s">
        <v>14</v>
      </c>
      <c r="C276" s="1976" t="s">
        <v>2778</v>
      </c>
      <c r="D276" s="1976" t="s">
        <v>2779</v>
      </c>
      <c r="E276" s="1976" t="s">
        <v>2780</v>
      </c>
      <c r="F276" s="1976" t="s">
        <v>2583</v>
      </c>
      <c r="G276" s="1976" t="s">
        <v>18</v>
      </c>
      <c r="H276" s="1976" t="s">
        <v>18</v>
      </c>
      <c r="I276" s="1976" t="s">
        <v>730</v>
      </c>
    </row>
    <row r="277" spans="1:9" ht="11.25" customHeight="1">
      <c r="A277" s="1976" t="s">
        <v>2149</v>
      </c>
      <c r="B277" s="1976" t="s">
        <v>14</v>
      </c>
      <c r="C277" s="1976" t="s">
        <v>2781</v>
      </c>
      <c r="D277" s="1976" t="s">
        <v>2782</v>
      </c>
      <c r="E277" s="1976" t="s">
        <v>2783</v>
      </c>
      <c r="F277" s="1976" t="s">
        <v>2325</v>
      </c>
      <c r="G277" s="1976" t="s">
        <v>18</v>
      </c>
      <c r="H277" s="1976" t="s">
        <v>18</v>
      </c>
      <c r="I277" s="1976" t="s">
        <v>730</v>
      </c>
    </row>
    <row r="278" spans="1:9" ht="11.25" customHeight="1">
      <c r="A278" s="1976" t="s">
        <v>2149</v>
      </c>
      <c r="B278" s="1976" t="s">
        <v>14</v>
      </c>
      <c r="C278" s="1976" t="s">
        <v>2394</v>
      </c>
      <c r="D278" s="1976" t="s">
        <v>2395</v>
      </c>
      <c r="E278" s="1976" t="s">
        <v>2396</v>
      </c>
      <c r="F278" s="1976" t="s">
        <v>2229</v>
      </c>
      <c r="G278" s="1976" t="s">
        <v>18</v>
      </c>
      <c r="H278" s="1976" t="s">
        <v>18</v>
      </c>
      <c r="I278" s="1976" t="s">
        <v>730</v>
      </c>
    </row>
    <row r="279" spans="1:9" ht="11.25" customHeight="1">
      <c r="A279" s="1976" t="s">
        <v>2149</v>
      </c>
      <c r="B279" s="1976" t="s">
        <v>14</v>
      </c>
      <c r="C279" s="1976" t="s">
        <v>2784</v>
      </c>
      <c r="D279" s="1976" t="s">
        <v>2785</v>
      </c>
      <c r="E279" s="1976" t="s">
        <v>2786</v>
      </c>
      <c r="F279" s="1976" t="s">
        <v>2284</v>
      </c>
      <c r="G279" s="1976" t="s">
        <v>18</v>
      </c>
      <c r="H279" s="1976" t="s">
        <v>18</v>
      </c>
      <c r="I279" s="1976" t="s">
        <v>730</v>
      </c>
    </row>
    <row r="280" spans="1:9" ht="11.25" customHeight="1">
      <c r="A280" s="1976" t="s">
        <v>2149</v>
      </c>
      <c r="B280" s="1976" t="s">
        <v>14</v>
      </c>
      <c r="C280" s="1976" t="s">
        <v>2787</v>
      </c>
      <c r="D280" s="1976" t="s">
        <v>2788</v>
      </c>
      <c r="E280" s="1976" t="s">
        <v>2789</v>
      </c>
      <c r="F280" s="1976" t="s">
        <v>2251</v>
      </c>
      <c r="G280" s="1976" t="s">
        <v>18</v>
      </c>
      <c r="H280" s="1976" t="s">
        <v>18</v>
      </c>
      <c r="I280" s="1976" t="s">
        <v>730</v>
      </c>
    </row>
    <row r="281" spans="1:9" ht="11.25" customHeight="1">
      <c r="A281" s="1976" t="s">
        <v>2149</v>
      </c>
      <c r="B281" s="1976" t="s">
        <v>14</v>
      </c>
      <c r="C281" s="1976" t="s">
        <v>2790</v>
      </c>
      <c r="D281" s="1976" t="s">
        <v>2791</v>
      </c>
      <c r="E281" s="1976" t="s">
        <v>2792</v>
      </c>
      <c r="F281" s="1976" t="s">
        <v>2294</v>
      </c>
      <c r="G281" s="1976" t="s">
        <v>18</v>
      </c>
      <c r="H281" s="1976" t="s">
        <v>18</v>
      </c>
      <c r="I281" s="1976" t="s">
        <v>730</v>
      </c>
    </row>
    <row r="282" spans="1:9" ht="11.25" customHeight="1">
      <c r="A282" s="1976" t="s">
        <v>2149</v>
      </c>
      <c r="B282" s="1976" t="s">
        <v>14</v>
      </c>
      <c r="C282" s="1976" t="s">
        <v>2793</v>
      </c>
      <c r="D282" s="1976" t="s">
        <v>2794</v>
      </c>
      <c r="E282" s="1976" t="s">
        <v>2795</v>
      </c>
      <c r="F282" s="1976" t="s">
        <v>2198</v>
      </c>
      <c r="G282" s="1976" t="s">
        <v>18</v>
      </c>
      <c r="H282" s="1976" t="s">
        <v>18</v>
      </c>
      <c r="I282" s="1976" t="s">
        <v>730</v>
      </c>
    </row>
    <row r="283" spans="1:9" ht="11.25" customHeight="1">
      <c r="A283" s="1976" t="s">
        <v>2149</v>
      </c>
      <c r="B283" s="1976" t="s">
        <v>14</v>
      </c>
      <c r="C283" s="1976" t="s">
        <v>2796</v>
      </c>
      <c r="D283" s="1976" t="s">
        <v>2797</v>
      </c>
      <c r="E283" s="1976" t="s">
        <v>2798</v>
      </c>
      <c r="F283" s="1976" t="s">
        <v>2583</v>
      </c>
      <c r="G283" s="1976" t="s">
        <v>18</v>
      </c>
      <c r="H283" s="1976" t="s">
        <v>18</v>
      </c>
      <c r="I283" s="1976" t="s">
        <v>730</v>
      </c>
    </row>
    <row r="284" spans="1:9" ht="11.25" customHeight="1">
      <c r="A284" s="1976" t="s">
        <v>2149</v>
      </c>
      <c r="B284" s="1976" t="s">
        <v>14</v>
      </c>
      <c r="C284" s="1976" t="s">
        <v>2799</v>
      </c>
      <c r="D284" s="1976" t="s">
        <v>2800</v>
      </c>
      <c r="E284" s="1976" t="s">
        <v>2801</v>
      </c>
      <c r="F284" s="1976" t="s">
        <v>2365</v>
      </c>
      <c r="G284" s="1976" t="s">
        <v>18</v>
      </c>
      <c r="H284" s="1976" t="s">
        <v>18</v>
      </c>
      <c r="I284" s="1976" t="s">
        <v>730</v>
      </c>
    </row>
    <row r="285" spans="1:9" ht="11.25" customHeight="1">
      <c r="A285" s="1976" t="s">
        <v>2149</v>
      </c>
      <c r="B285" s="1976" t="s">
        <v>14</v>
      </c>
      <c r="C285" s="1976" t="s">
        <v>2802</v>
      </c>
      <c r="D285" s="1976" t="s">
        <v>2803</v>
      </c>
      <c r="E285" s="1976" t="s">
        <v>2804</v>
      </c>
      <c r="F285" s="1976" t="s">
        <v>2240</v>
      </c>
      <c r="G285" s="1976" t="s">
        <v>18</v>
      </c>
      <c r="H285" s="1976" t="s">
        <v>18</v>
      </c>
      <c r="I285" s="1976" t="s">
        <v>730</v>
      </c>
    </row>
    <row r="286" spans="1:9" ht="11.25" customHeight="1">
      <c r="A286" s="1976" t="s">
        <v>2149</v>
      </c>
      <c r="B286" s="1976" t="s">
        <v>14</v>
      </c>
      <c r="C286" s="1976" t="s">
        <v>2805</v>
      </c>
      <c r="D286" s="1976" t="s">
        <v>2806</v>
      </c>
      <c r="E286" s="1976" t="s">
        <v>2807</v>
      </c>
      <c r="F286" s="1976" t="s">
        <v>2654</v>
      </c>
      <c r="G286" s="1976" t="s">
        <v>18</v>
      </c>
      <c r="H286" s="1976" t="s">
        <v>18</v>
      </c>
      <c r="I286" s="1976" t="s">
        <v>730</v>
      </c>
    </row>
    <row r="287" spans="1:9" ht="11.25" customHeight="1">
      <c r="A287" s="1976" t="s">
        <v>2149</v>
      </c>
      <c r="B287" s="1976" t="s">
        <v>14</v>
      </c>
      <c r="C287" s="1976" t="s">
        <v>2808</v>
      </c>
      <c r="D287" s="1976" t="s">
        <v>2809</v>
      </c>
      <c r="E287" s="1976" t="s">
        <v>2810</v>
      </c>
      <c r="F287" s="1976" t="s">
        <v>2325</v>
      </c>
      <c r="G287" s="1976" t="s">
        <v>18</v>
      </c>
      <c r="H287" s="1976" t="s">
        <v>18</v>
      </c>
      <c r="I287" s="1976" t="s">
        <v>730</v>
      </c>
    </row>
    <row r="288" spans="1:9" ht="11.25" customHeight="1">
      <c r="A288" s="1976" t="s">
        <v>2149</v>
      </c>
      <c r="B288" s="1976" t="s">
        <v>14</v>
      </c>
      <c r="C288" s="1976" t="s">
        <v>2811</v>
      </c>
      <c r="D288" s="1976" t="s">
        <v>2809</v>
      </c>
      <c r="E288" s="1976" t="s">
        <v>2812</v>
      </c>
      <c r="F288" s="1976" t="s">
        <v>2430</v>
      </c>
      <c r="G288" s="1976" t="s">
        <v>18</v>
      </c>
      <c r="H288" s="1976" t="s">
        <v>18</v>
      </c>
      <c r="I288" s="1976" t="s">
        <v>730</v>
      </c>
    </row>
    <row r="289" spans="1:9" ht="11.25" customHeight="1">
      <c r="A289" s="1976" t="s">
        <v>2149</v>
      </c>
      <c r="B289" s="1976" t="s">
        <v>14</v>
      </c>
      <c r="C289" s="1976" t="s">
        <v>2813</v>
      </c>
      <c r="D289" s="1976" t="s">
        <v>2814</v>
      </c>
      <c r="E289" s="1976" t="s">
        <v>2815</v>
      </c>
      <c r="F289" s="1976" t="s">
        <v>2284</v>
      </c>
      <c r="G289" s="1976" t="s">
        <v>18</v>
      </c>
      <c r="H289" s="1976" t="s">
        <v>18</v>
      </c>
      <c r="I289" s="1976" t="s">
        <v>730</v>
      </c>
    </row>
    <row r="290" spans="1:9" ht="11.25" customHeight="1">
      <c r="A290" s="1976" t="s">
        <v>2149</v>
      </c>
      <c r="B290" s="1976" t="s">
        <v>14</v>
      </c>
      <c r="C290" s="1976" t="s">
        <v>2816</v>
      </c>
      <c r="D290" s="1976" t="s">
        <v>2817</v>
      </c>
      <c r="E290" s="1976" t="s">
        <v>2818</v>
      </c>
      <c r="F290" s="1976" t="s">
        <v>2160</v>
      </c>
      <c r="G290" s="1976" t="s">
        <v>18</v>
      </c>
      <c r="H290" s="1976" t="s">
        <v>18</v>
      </c>
      <c r="I290" s="1976" t="s">
        <v>730</v>
      </c>
    </row>
    <row r="291" spans="1:9" ht="11.25" customHeight="1">
      <c r="A291" s="1976" t="s">
        <v>2149</v>
      </c>
      <c r="B291" s="1976" t="s">
        <v>14</v>
      </c>
      <c r="C291" s="1976" t="s">
        <v>2417</v>
      </c>
      <c r="D291" s="1976" t="s">
        <v>2418</v>
      </c>
      <c r="E291" s="1976" t="s">
        <v>2419</v>
      </c>
      <c r="F291" s="1976" t="s">
        <v>2420</v>
      </c>
      <c r="G291" s="1976" t="s">
        <v>18</v>
      </c>
      <c r="H291" s="1976" t="s">
        <v>18</v>
      </c>
      <c r="I291" s="1976" t="s">
        <v>730</v>
      </c>
    </row>
    <row r="292" spans="1:9" ht="11.25" customHeight="1">
      <c r="A292" s="1976" t="s">
        <v>2149</v>
      </c>
      <c r="B292" s="1976" t="s">
        <v>14</v>
      </c>
      <c r="C292" s="1976" t="s">
        <v>2819</v>
      </c>
      <c r="D292" s="1976" t="s">
        <v>2820</v>
      </c>
      <c r="E292" s="1976" t="s">
        <v>2821</v>
      </c>
      <c r="F292" s="1976" t="s">
        <v>2284</v>
      </c>
      <c r="G292" s="1976" t="s">
        <v>18</v>
      </c>
      <c r="H292" s="1976" t="s">
        <v>18</v>
      </c>
      <c r="I292" s="1976" t="s">
        <v>730</v>
      </c>
    </row>
    <row r="293" spans="1:9" ht="11.25" customHeight="1">
      <c r="A293" s="1976" t="s">
        <v>2149</v>
      </c>
      <c r="B293" s="1976" t="s">
        <v>14</v>
      </c>
      <c r="C293" s="1976" t="s">
        <v>2822</v>
      </c>
      <c r="D293" s="1976" t="s">
        <v>2823</v>
      </c>
      <c r="E293" s="1976" t="s">
        <v>2824</v>
      </c>
      <c r="F293" s="1976" t="s">
        <v>2240</v>
      </c>
      <c r="G293" s="1976" t="s">
        <v>18</v>
      </c>
      <c r="H293" s="1976" t="s">
        <v>18</v>
      </c>
      <c r="I293" s="1976" t="s">
        <v>730</v>
      </c>
    </row>
    <row r="294" spans="1:9" ht="11.25" customHeight="1">
      <c r="A294" s="1976" t="s">
        <v>2149</v>
      </c>
      <c r="B294" s="1976" t="s">
        <v>14</v>
      </c>
      <c r="C294" s="1976" t="s">
        <v>2421</v>
      </c>
      <c r="D294" s="1976" t="s">
        <v>2422</v>
      </c>
      <c r="E294" s="1976" t="s">
        <v>2423</v>
      </c>
      <c r="F294" s="1976" t="s">
        <v>2260</v>
      </c>
      <c r="G294" s="1976" t="s">
        <v>18</v>
      </c>
      <c r="H294" s="1976" t="s">
        <v>18</v>
      </c>
      <c r="I294" s="1976" t="s">
        <v>730</v>
      </c>
    </row>
    <row r="295" spans="1:9" ht="11.25" customHeight="1">
      <c r="A295" s="1976" t="s">
        <v>2149</v>
      </c>
      <c r="B295" s="1976" t="s">
        <v>14</v>
      </c>
      <c r="C295" s="1976" t="s">
        <v>2825</v>
      </c>
      <c r="D295" s="1976" t="s">
        <v>2826</v>
      </c>
      <c r="E295" s="1976" t="s">
        <v>2827</v>
      </c>
      <c r="F295" s="1976" t="s">
        <v>2251</v>
      </c>
      <c r="G295" s="1976" t="s">
        <v>2828</v>
      </c>
      <c r="H295" s="1976" t="s">
        <v>18</v>
      </c>
      <c r="I295" s="1976" t="s">
        <v>730</v>
      </c>
    </row>
    <row r="296" spans="1:9" ht="11.25" customHeight="1">
      <c r="A296" s="1976" t="s">
        <v>2149</v>
      </c>
      <c r="B296" s="1976" t="s">
        <v>14</v>
      </c>
      <c r="C296" s="1976" t="s">
        <v>2829</v>
      </c>
      <c r="D296" s="1976" t="s">
        <v>2830</v>
      </c>
      <c r="E296" s="1976" t="s">
        <v>2831</v>
      </c>
      <c r="F296" s="1976" t="s">
        <v>2251</v>
      </c>
      <c r="G296" s="1976" t="s">
        <v>18</v>
      </c>
      <c r="H296" s="1976" t="s">
        <v>18</v>
      </c>
      <c r="I296" s="1976" t="s">
        <v>730</v>
      </c>
    </row>
    <row r="297" spans="1:9" ht="11.25" customHeight="1">
      <c r="A297" s="1976" t="s">
        <v>2149</v>
      </c>
      <c r="B297" s="1976" t="s">
        <v>14</v>
      </c>
      <c r="C297" s="1976" t="s">
        <v>2424</v>
      </c>
      <c r="D297" s="1976" t="s">
        <v>2425</v>
      </c>
      <c r="E297" s="1976" t="s">
        <v>2426</v>
      </c>
      <c r="F297" s="1976" t="s">
        <v>2251</v>
      </c>
      <c r="G297" s="1976" t="s">
        <v>18</v>
      </c>
      <c r="H297" s="1976" t="s">
        <v>18</v>
      </c>
      <c r="I297" s="1976" t="s">
        <v>730</v>
      </c>
    </row>
    <row r="298" spans="1:9" ht="11.25" customHeight="1">
      <c r="A298" s="1976" t="s">
        <v>2149</v>
      </c>
      <c r="B298" s="1976" t="s">
        <v>14</v>
      </c>
      <c r="C298" s="1976" t="s">
        <v>2832</v>
      </c>
      <c r="D298" s="1976" t="s">
        <v>2833</v>
      </c>
      <c r="E298" s="1976" t="s">
        <v>2834</v>
      </c>
      <c r="F298" s="1976" t="s">
        <v>2236</v>
      </c>
      <c r="G298" s="1976" t="s">
        <v>18</v>
      </c>
      <c r="H298" s="1976" t="s">
        <v>18</v>
      </c>
      <c r="I298" s="1976" t="s">
        <v>730</v>
      </c>
    </row>
    <row r="299" spans="1:9" ht="11.25" customHeight="1">
      <c r="A299" s="1976" t="s">
        <v>2149</v>
      </c>
      <c r="B299" s="1976" t="s">
        <v>14</v>
      </c>
      <c r="C299" s="1976" t="s">
        <v>2835</v>
      </c>
      <c r="D299" s="1976" t="s">
        <v>2836</v>
      </c>
      <c r="E299" s="1976" t="s">
        <v>2837</v>
      </c>
      <c r="F299" s="1976" t="s">
        <v>2240</v>
      </c>
      <c r="G299" s="1976" t="s">
        <v>18</v>
      </c>
      <c r="H299" s="1976" t="s">
        <v>18</v>
      </c>
      <c r="I299" s="1976" t="s">
        <v>730</v>
      </c>
    </row>
    <row r="300" spans="1:9" ht="11.25" customHeight="1">
      <c r="A300" s="1976" t="s">
        <v>2149</v>
      </c>
      <c r="B300" s="1976" t="s">
        <v>14</v>
      </c>
      <c r="C300" s="1976" t="s">
        <v>2838</v>
      </c>
      <c r="D300" s="1976" t="s">
        <v>2839</v>
      </c>
      <c r="E300" s="1976" t="s">
        <v>2840</v>
      </c>
      <c r="F300" s="1976" t="s">
        <v>2841</v>
      </c>
      <c r="G300" s="1976" t="s">
        <v>18</v>
      </c>
      <c r="H300" s="1976" t="s">
        <v>18</v>
      </c>
      <c r="I300" s="1976" t="s">
        <v>730</v>
      </c>
    </row>
    <row r="301" spans="1:9" ht="11.25" customHeight="1">
      <c r="A301" s="1976" t="s">
        <v>2149</v>
      </c>
      <c r="B301" s="1976" t="s">
        <v>14</v>
      </c>
      <c r="C301" s="1976" t="s">
        <v>2478</v>
      </c>
      <c r="D301" s="1976" t="s">
        <v>2479</v>
      </c>
      <c r="E301" s="1976" t="s">
        <v>2480</v>
      </c>
      <c r="F301" s="1976" t="s">
        <v>2240</v>
      </c>
      <c r="G301" s="1976" t="s">
        <v>18</v>
      </c>
      <c r="H301" s="1976" t="s">
        <v>18</v>
      </c>
      <c r="I301" s="1976" t="s">
        <v>730</v>
      </c>
    </row>
    <row r="302" spans="1:9" ht="11.25" customHeight="1">
      <c r="A302" s="1976" t="s">
        <v>2149</v>
      </c>
      <c r="B302" s="1976" t="s">
        <v>14</v>
      </c>
      <c r="C302" s="1976" t="s">
        <v>2481</v>
      </c>
      <c r="D302" s="1976" t="s">
        <v>2482</v>
      </c>
      <c r="E302" s="1976" t="s">
        <v>2483</v>
      </c>
      <c r="F302" s="1976" t="s">
        <v>2365</v>
      </c>
      <c r="G302" s="1976" t="s">
        <v>18</v>
      </c>
      <c r="H302" s="1976" t="s">
        <v>18</v>
      </c>
      <c r="I302" s="1976" t="s">
        <v>730</v>
      </c>
    </row>
    <row r="303" spans="1:9" ht="11.25" customHeight="1">
      <c r="A303" s="1976" t="s">
        <v>2149</v>
      </c>
      <c r="B303" s="1976" t="s">
        <v>14</v>
      </c>
      <c r="C303" s="1976" t="s">
        <v>2842</v>
      </c>
      <c r="D303" s="1976" t="s">
        <v>2843</v>
      </c>
      <c r="E303" s="1976" t="s">
        <v>2844</v>
      </c>
      <c r="F303" s="1976" t="s">
        <v>2160</v>
      </c>
      <c r="G303" s="1976" t="s">
        <v>2845</v>
      </c>
      <c r="H303" s="1976" t="s">
        <v>18</v>
      </c>
      <c r="I303" s="1976" t="s">
        <v>730</v>
      </c>
    </row>
    <row r="304" spans="1:9" ht="11.25" customHeight="1">
      <c r="A304" s="1976" t="s">
        <v>2149</v>
      </c>
      <c r="B304" s="1976" t="s">
        <v>14</v>
      </c>
      <c r="C304" s="1976" t="s">
        <v>2484</v>
      </c>
      <c r="D304" s="1976" t="s">
        <v>2485</v>
      </c>
      <c r="E304" s="1976" t="s">
        <v>2486</v>
      </c>
      <c r="F304" s="1976" t="s">
        <v>2171</v>
      </c>
      <c r="G304" s="1976" t="s">
        <v>18</v>
      </c>
      <c r="H304" s="1976" t="s">
        <v>18</v>
      </c>
      <c r="I304" s="1976" t="s">
        <v>730</v>
      </c>
    </row>
    <row r="305" spans="1:9" ht="11.25" customHeight="1">
      <c r="A305" s="1976" t="s">
        <v>2149</v>
      </c>
      <c r="B305" s="1976" t="s">
        <v>14</v>
      </c>
      <c r="C305" s="1976" t="s">
        <v>2487</v>
      </c>
      <c r="D305" s="1976" t="s">
        <v>2488</v>
      </c>
      <c r="E305" s="1976" t="s">
        <v>2489</v>
      </c>
      <c r="F305" s="1976" t="s">
        <v>2416</v>
      </c>
      <c r="G305" s="1976" t="s">
        <v>18</v>
      </c>
      <c r="H305" s="1976" t="s">
        <v>18</v>
      </c>
      <c r="I305" s="1976" t="s">
        <v>730</v>
      </c>
    </row>
    <row r="306" spans="1:9" ht="11.25" customHeight="1">
      <c r="A306" s="1976" t="s">
        <v>2149</v>
      </c>
      <c r="B306" s="1976" t="s">
        <v>14</v>
      </c>
      <c r="C306" s="1976" t="s">
        <v>2846</v>
      </c>
      <c r="D306" s="1976" t="s">
        <v>2847</v>
      </c>
      <c r="E306" s="1976" t="s">
        <v>2848</v>
      </c>
      <c r="F306" s="1976" t="s">
        <v>2236</v>
      </c>
      <c r="G306" s="1976" t="s">
        <v>18</v>
      </c>
      <c r="H306" s="1976" t="s">
        <v>18</v>
      </c>
      <c r="I306" s="1976" t="s">
        <v>730</v>
      </c>
    </row>
    <row r="307" spans="1:9" ht="11.25" customHeight="1">
      <c r="A307" s="1976" t="s">
        <v>2149</v>
      </c>
      <c r="B307" s="1976" t="s">
        <v>14</v>
      </c>
      <c r="C307" s="1976" t="s">
        <v>2849</v>
      </c>
      <c r="D307" s="1976" t="s">
        <v>2850</v>
      </c>
      <c r="E307" s="1976" t="s">
        <v>2205</v>
      </c>
      <c r="F307" s="1976" t="s">
        <v>2851</v>
      </c>
      <c r="G307" s="1976" t="s">
        <v>18</v>
      </c>
      <c r="H307" s="1976" t="s">
        <v>18</v>
      </c>
      <c r="I307" s="1976" t="s">
        <v>730</v>
      </c>
    </row>
    <row r="308" spans="1:9" ht="11.25" customHeight="1">
      <c r="A308" s="1976" t="s">
        <v>2149</v>
      </c>
      <c r="B308" s="1976" t="s">
        <v>14</v>
      </c>
      <c r="C308" s="1976" t="s">
        <v>2852</v>
      </c>
      <c r="D308" s="1976" t="s">
        <v>2853</v>
      </c>
      <c r="E308" s="1976" t="s">
        <v>2854</v>
      </c>
      <c r="F308" s="1976" t="s">
        <v>2430</v>
      </c>
      <c r="G308" s="1976" t="s">
        <v>18</v>
      </c>
      <c r="H308" s="1976" t="s">
        <v>18</v>
      </c>
      <c r="I308" s="1976" t="s">
        <v>730</v>
      </c>
    </row>
    <row r="309" spans="1:9" ht="11.25" customHeight="1">
      <c r="A309" s="1976" t="s">
        <v>2149</v>
      </c>
      <c r="B309" s="1976" t="s">
        <v>14</v>
      </c>
      <c r="C309" s="1976" t="s">
        <v>2855</v>
      </c>
      <c r="D309" s="1976" t="s">
        <v>2856</v>
      </c>
      <c r="E309" s="1976" t="s">
        <v>2857</v>
      </c>
      <c r="F309" s="1976" t="s">
        <v>2858</v>
      </c>
      <c r="G309" s="1976" t="s">
        <v>18</v>
      </c>
      <c r="H309" s="1976" t="s">
        <v>18</v>
      </c>
      <c r="I309" s="1976" t="s">
        <v>730</v>
      </c>
    </row>
    <row r="310" spans="1:9" ht="11.25" customHeight="1">
      <c r="A310" s="1976" t="s">
        <v>2149</v>
      </c>
      <c r="B310" s="1976" t="s">
        <v>14</v>
      </c>
      <c r="C310" s="1976" t="s">
        <v>2859</v>
      </c>
      <c r="D310" s="1976" t="s">
        <v>2860</v>
      </c>
      <c r="E310" s="1976" t="s">
        <v>2861</v>
      </c>
      <c r="F310" s="1976" t="s">
        <v>2597</v>
      </c>
      <c r="G310" s="1976" t="s">
        <v>18</v>
      </c>
      <c r="H310" s="1976" t="s">
        <v>18</v>
      </c>
      <c r="I310" s="1976" t="s">
        <v>730</v>
      </c>
    </row>
    <row r="311" spans="1:9" ht="11.25" customHeight="1">
      <c r="A311" s="1976" t="s">
        <v>2149</v>
      </c>
      <c r="B311" s="1976" t="s">
        <v>14</v>
      </c>
      <c r="C311" s="1976" t="s">
        <v>2862</v>
      </c>
      <c r="D311" s="1976" t="s">
        <v>2863</v>
      </c>
      <c r="E311" s="1976" t="s">
        <v>2864</v>
      </c>
      <c r="F311" s="1976" t="s">
        <v>2240</v>
      </c>
      <c r="G311" s="1976" t="s">
        <v>18</v>
      </c>
      <c r="H311" s="1976" t="s">
        <v>18</v>
      </c>
      <c r="I311" s="1976" t="s">
        <v>730</v>
      </c>
    </row>
    <row r="312" spans="1:9" ht="11.25" customHeight="1">
      <c r="A312" s="1976" t="s">
        <v>2149</v>
      </c>
      <c r="B312" s="1976" t="s">
        <v>14</v>
      </c>
      <c r="C312" s="1976" t="s">
        <v>2865</v>
      </c>
      <c r="D312" s="1976" t="s">
        <v>2866</v>
      </c>
      <c r="E312" s="1976" t="s">
        <v>2867</v>
      </c>
      <c r="F312" s="1976" t="s">
        <v>2654</v>
      </c>
      <c r="G312" s="1976" t="s">
        <v>18</v>
      </c>
      <c r="H312" s="1976" t="s">
        <v>18</v>
      </c>
      <c r="I312" s="1976" t="s">
        <v>730</v>
      </c>
    </row>
    <row r="313" spans="1:9" ht="11.25" customHeight="1">
      <c r="A313" s="1976" t="s">
        <v>2149</v>
      </c>
      <c r="B313" s="1976" t="s">
        <v>14</v>
      </c>
      <c r="C313" s="1976" t="s">
        <v>2868</v>
      </c>
      <c r="D313" s="1976" t="s">
        <v>2869</v>
      </c>
      <c r="E313" s="1976" t="s">
        <v>2870</v>
      </c>
      <c r="F313" s="1976" t="s">
        <v>2430</v>
      </c>
      <c r="G313" s="1976" t="s">
        <v>18</v>
      </c>
      <c r="H313" s="1976" t="s">
        <v>18</v>
      </c>
      <c r="I313" s="1976" t="s">
        <v>730</v>
      </c>
    </row>
    <row r="314" spans="1:9" ht="11.25" customHeight="1">
      <c r="A314" s="1976" t="s">
        <v>2149</v>
      </c>
      <c r="B314" s="1976" t="s">
        <v>14</v>
      </c>
      <c r="C314" s="1976" t="s">
        <v>2871</v>
      </c>
      <c r="D314" s="1976" t="s">
        <v>2872</v>
      </c>
      <c r="E314" s="1976" t="s">
        <v>2873</v>
      </c>
      <c r="F314" s="1976" t="s">
        <v>2325</v>
      </c>
      <c r="G314" s="1976" t="s">
        <v>18</v>
      </c>
      <c r="H314" s="1976" t="s">
        <v>18</v>
      </c>
      <c r="I314" s="1976" t="s">
        <v>730</v>
      </c>
    </row>
    <row r="315" spans="1:9" ht="11.25" customHeight="1">
      <c r="A315" s="1976" t="s">
        <v>2149</v>
      </c>
      <c r="B315" s="1976" t="s">
        <v>14</v>
      </c>
      <c r="C315" s="1976" t="s">
        <v>2874</v>
      </c>
      <c r="D315" s="1976" t="s">
        <v>2875</v>
      </c>
      <c r="E315" s="1976" t="s">
        <v>2876</v>
      </c>
      <c r="F315" s="1976" t="s">
        <v>2325</v>
      </c>
      <c r="G315" s="1976" t="s">
        <v>18</v>
      </c>
      <c r="H315" s="1976" t="s">
        <v>18</v>
      </c>
      <c r="I315" s="1976" t="s">
        <v>730</v>
      </c>
    </row>
    <row r="316" spans="1:9" ht="11.25" customHeight="1">
      <c r="A316" s="1976" t="s">
        <v>2149</v>
      </c>
      <c r="B316" s="1976" t="s">
        <v>14</v>
      </c>
      <c r="C316" s="1976" t="s">
        <v>2877</v>
      </c>
      <c r="D316" s="1976" t="s">
        <v>2878</v>
      </c>
      <c r="E316" s="1976" t="s">
        <v>2879</v>
      </c>
      <c r="F316" s="1976" t="s">
        <v>2256</v>
      </c>
      <c r="G316" s="1976" t="s">
        <v>18</v>
      </c>
      <c r="H316" s="1976" t="s">
        <v>18</v>
      </c>
      <c r="I316" s="1976" t="s">
        <v>730</v>
      </c>
    </row>
    <row r="317" spans="1:9" ht="11.25" customHeight="1">
      <c r="A317" s="1976" t="s">
        <v>2149</v>
      </c>
      <c r="B317" s="1976" t="s">
        <v>14</v>
      </c>
      <c r="C317" s="1976" t="s">
        <v>2880</v>
      </c>
      <c r="D317" s="1976" t="s">
        <v>2881</v>
      </c>
      <c r="E317" s="1976" t="s">
        <v>2882</v>
      </c>
      <c r="F317" s="1976" t="s">
        <v>2709</v>
      </c>
      <c r="G317" s="1976" t="s">
        <v>18</v>
      </c>
      <c r="H317" s="1976" t="s">
        <v>18</v>
      </c>
      <c r="I317" s="1976" t="s">
        <v>730</v>
      </c>
    </row>
    <row r="318" spans="1:9" ht="11.25" customHeight="1">
      <c r="A318" s="1976" t="s">
        <v>2149</v>
      </c>
      <c r="B318" s="1976" t="s">
        <v>14</v>
      </c>
      <c r="C318" s="1976" t="s">
        <v>2883</v>
      </c>
      <c r="D318" s="1976" t="s">
        <v>2884</v>
      </c>
      <c r="E318" s="1976" t="s">
        <v>2885</v>
      </c>
      <c r="F318" s="1976" t="s">
        <v>2349</v>
      </c>
      <c r="G318" s="1976" t="s">
        <v>18</v>
      </c>
      <c r="H318" s="1976" t="s">
        <v>18</v>
      </c>
      <c r="I318" s="1976" t="s">
        <v>730</v>
      </c>
    </row>
    <row r="319" spans="1:9" ht="11.25" customHeight="1">
      <c r="A319" s="1976" t="s">
        <v>2149</v>
      </c>
      <c r="B319" s="1976" t="s">
        <v>14</v>
      </c>
      <c r="C319" s="1976" t="s">
        <v>2886</v>
      </c>
      <c r="D319" s="1976" t="s">
        <v>2887</v>
      </c>
      <c r="E319" s="1976" t="s">
        <v>2888</v>
      </c>
      <c r="F319" s="1976" t="s">
        <v>2280</v>
      </c>
      <c r="G319" s="1976" t="s">
        <v>18</v>
      </c>
      <c r="H319" s="1976" t="s">
        <v>18</v>
      </c>
      <c r="I319" s="1976" t="s">
        <v>730</v>
      </c>
    </row>
    <row r="320" spans="1:9" ht="11.25" customHeight="1">
      <c r="A320" s="1976" t="s">
        <v>2149</v>
      </c>
      <c r="B320" s="1976" t="s">
        <v>14</v>
      </c>
      <c r="C320" s="1976" t="s">
        <v>2889</v>
      </c>
      <c r="D320" s="1976" t="s">
        <v>2890</v>
      </c>
      <c r="E320" s="1976" t="s">
        <v>2891</v>
      </c>
      <c r="F320" s="1976" t="s">
        <v>2284</v>
      </c>
      <c r="G320" s="1976" t="s">
        <v>18</v>
      </c>
      <c r="H320" s="1976" t="s">
        <v>18</v>
      </c>
      <c r="I320" s="1976" t="s">
        <v>730</v>
      </c>
    </row>
    <row r="321" spans="1:9" ht="11.25" customHeight="1">
      <c r="A321" s="1976" t="s">
        <v>2149</v>
      </c>
      <c r="B321" s="1976" t="s">
        <v>14</v>
      </c>
      <c r="C321" s="1976" t="s">
        <v>2892</v>
      </c>
      <c r="D321" s="1976" t="s">
        <v>2893</v>
      </c>
      <c r="E321" s="1976" t="s">
        <v>2894</v>
      </c>
      <c r="F321" s="1976" t="s">
        <v>2416</v>
      </c>
      <c r="G321" s="1976" t="s">
        <v>18</v>
      </c>
      <c r="H321" s="1976" t="s">
        <v>18</v>
      </c>
      <c r="I321" s="1976" t="s">
        <v>730</v>
      </c>
    </row>
    <row r="322" spans="1:9" ht="11.25" customHeight="1">
      <c r="A322" s="1976" t="s">
        <v>2149</v>
      </c>
      <c r="B322" s="1976" t="s">
        <v>14</v>
      </c>
      <c r="C322" s="1976" t="s">
        <v>2895</v>
      </c>
      <c r="D322" s="1976" t="s">
        <v>2896</v>
      </c>
      <c r="E322" s="1976" t="s">
        <v>2897</v>
      </c>
      <c r="F322" s="1976" t="s">
        <v>2709</v>
      </c>
      <c r="G322" s="1976" t="s">
        <v>18</v>
      </c>
      <c r="H322" s="1976" t="s">
        <v>18</v>
      </c>
      <c r="I322" s="1976" t="s">
        <v>730</v>
      </c>
    </row>
    <row r="323" spans="1:9" ht="11.25" customHeight="1">
      <c r="A323" s="1976" t="s">
        <v>2149</v>
      </c>
      <c r="B323" s="1976" t="s">
        <v>14</v>
      </c>
      <c r="C323" s="1976" t="s">
        <v>2898</v>
      </c>
      <c r="D323" s="1976" t="s">
        <v>2899</v>
      </c>
      <c r="E323" s="1976" t="s">
        <v>2900</v>
      </c>
      <c r="F323" s="1976" t="s">
        <v>2325</v>
      </c>
      <c r="G323" s="1976" t="s">
        <v>18</v>
      </c>
      <c r="H323" s="1976" t="s">
        <v>18</v>
      </c>
      <c r="I323" s="1976" t="s">
        <v>730</v>
      </c>
    </row>
    <row r="324" spans="1:9" ht="11.25" customHeight="1">
      <c r="A324" s="1976" t="s">
        <v>2149</v>
      </c>
      <c r="B324" s="1976" t="s">
        <v>14</v>
      </c>
      <c r="C324" s="1976" t="s">
        <v>2901</v>
      </c>
      <c r="D324" s="1976" t="s">
        <v>2902</v>
      </c>
      <c r="E324" s="1976" t="s">
        <v>2903</v>
      </c>
      <c r="F324" s="1976" t="s">
        <v>2349</v>
      </c>
      <c r="G324" s="1976" t="s">
        <v>18</v>
      </c>
      <c r="H324" s="1976" t="s">
        <v>18</v>
      </c>
      <c r="I324" s="1976" t="s">
        <v>730</v>
      </c>
    </row>
    <row r="325" spans="1:9" ht="11.25" customHeight="1">
      <c r="A325" s="1976" t="s">
        <v>2149</v>
      </c>
      <c r="B325" s="1976" t="s">
        <v>14</v>
      </c>
      <c r="C325" s="1976" t="s">
        <v>2904</v>
      </c>
      <c r="D325" s="1976" t="s">
        <v>2905</v>
      </c>
      <c r="E325" s="1976" t="s">
        <v>2906</v>
      </c>
      <c r="F325" s="1976" t="s">
        <v>2349</v>
      </c>
      <c r="G325" s="1976" t="s">
        <v>18</v>
      </c>
      <c r="H325" s="1976" t="s">
        <v>18</v>
      </c>
      <c r="I325" s="1976" t="s">
        <v>730</v>
      </c>
    </row>
    <row r="326" spans="1:9" ht="11.25" customHeight="1">
      <c r="A326" s="1976" t="s">
        <v>2149</v>
      </c>
      <c r="B326" s="1976" t="s">
        <v>14</v>
      </c>
      <c r="C326" s="1976" t="s">
        <v>2907</v>
      </c>
      <c r="D326" s="1976" t="s">
        <v>2908</v>
      </c>
      <c r="E326" s="1976" t="s">
        <v>2909</v>
      </c>
      <c r="F326" s="1976" t="s">
        <v>2416</v>
      </c>
      <c r="G326" s="1976" t="s">
        <v>18</v>
      </c>
      <c r="H326" s="1976" t="s">
        <v>18</v>
      </c>
      <c r="I326" s="1976" t="s">
        <v>730</v>
      </c>
    </row>
    <row r="327" spans="1:9" ht="11.25" customHeight="1">
      <c r="A327" s="1976" t="s">
        <v>2149</v>
      </c>
      <c r="B327" s="1976" t="s">
        <v>14</v>
      </c>
      <c r="C327" s="1976" t="s">
        <v>2910</v>
      </c>
      <c r="D327" s="1976" t="s">
        <v>2911</v>
      </c>
      <c r="E327" s="1976" t="s">
        <v>2912</v>
      </c>
      <c r="F327" s="1976" t="s">
        <v>2179</v>
      </c>
      <c r="G327" s="1976" t="s">
        <v>18</v>
      </c>
      <c r="H327" s="1976" t="s">
        <v>18</v>
      </c>
      <c r="I327" s="1976" t="s">
        <v>730</v>
      </c>
    </row>
    <row r="328" spans="1:9" ht="11.25" customHeight="1">
      <c r="A328" s="1976" t="s">
        <v>2149</v>
      </c>
      <c r="B328" s="1976" t="s">
        <v>14</v>
      </c>
      <c r="C328" s="1976" t="s">
        <v>2504</v>
      </c>
      <c r="D328" s="1976" t="s">
        <v>2505</v>
      </c>
      <c r="E328" s="1976" t="s">
        <v>2506</v>
      </c>
      <c r="F328" s="1976" t="s">
        <v>2507</v>
      </c>
      <c r="G328" s="1976" t="s">
        <v>18</v>
      </c>
      <c r="H328" s="1976" t="s">
        <v>18</v>
      </c>
      <c r="I328" s="1976" t="s">
        <v>730</v>
      </c>
    </row>
    <row r="329" spans="1:9" ht="11.25" customHeight="1">
      <c r="A329" s="1976" t="s">
        <v>2149</v>
      </c>
      <c r="B329" s="1976" t="s">
        <v>14</v>
      </c>
      <c r="C329" s="1976" t="s">
        <v>2508</v>
      </c>
      <c r="D329" s="1976" t="s">
        <v>2509</v>
      </c>
      <c r="E329" s="1976" t="s">
        <v>2510</v>
      </c>
      <c r="F329" s="1976" t="s">
        <v>2260</v>
      </c>
      <c r="G329" s="1976" t="s">
        <v>18</v>
      </c>
      <c r="H329" s="1976" t="s">
        <v>18</v>
      </c>
      <c r="I329" s="1976" t="s">
        <v>730</v>
      </c>
    </row>
    <row r="330" spans="1:9" ht="11.25" customHeight="1">
      <c r="A330" s="1976" t="s">
        <v>2149</v>
      </c>
      <c r="B330" s="1976" t="s">
        <v>14</v>
      </c>
      <c r="C330" s="1976" t="s">
        <v>2511</v>
      </c>
      <c r="D330" s="1976" t="s">
        <v>2512</v>
      </c>
      <c r="E330" s="1976" t="s">
        <v>2513</v>
      </c>
      <c r="F330" s="1976" t="s">
        <v>2179</v>
      </c>
      <c r="G330" s="1976" t="s">
        <v>18</v>
      </c>
      <c r="H330" s="1976" t="s">
        <v>18</v>
      </c>
      <c r="I330" s="1976" t="s">
        <v>730</v>
      </c>
    </row>
    <row r="331" spans="1:9" ht="11.25" customHeight="1">
      <c r="A331" s="1976" t="s">
        <v>2149</v>
      </c>
      <c r="B331" s="1976" t="s">
        <v>14</v>
      </c>
      <c r="C331" s="1976" t="s">
        <v>2913</v>
      </c>
      <c r="D331" s="1976" t="s">
        <v>2914</v>
      </c>
      <c r="E331" s="1976" t="s">
        <v>2915</v>
      </c>
      <c r="F331" s="1976" t="s">
        <v>2179</v>
      </c>
      <c r="G331" s="1976" t="s">
        <v>18</v>
      </c>
      <c r="H331" s="1976" t="s">
        <v>18</v>
      </c>
      <c r="I331" s="1976" t="s">
        <v>730</v>
      </c>
    </row>
    <row r="332" spans="1:9" ht="11.25" customHeight="1">
      <c r="A332" s="1976" t="s">
        <v>2149</v>
      </c>
      <c r="B332" s="1976" t="s">
        <v>14</v>
      </c>
      <c r="C332" s="1976" t="s">
        <v>2522</v>
      </c>
      <c r="D332" s="1976" t="s">
        <v>2523</v>
      </c>
      <c r="E332" s="1976" t="s">
        <v>2524</v>
      </c>
      <c r="F332" s="1976" t="s">
        <v>2525</v>
      </c>
      <c r="G332" s="1976" t="s">
        <v>18</v>
      </c>
      <c r="H332" s="1976" t="s">
        <v>18</v>
      </c>
      <c r="I332" s="1976" t="s">
        <v>730</v>
      </c>
    </row>
    <row r="333" spans="1:9" ht="11.25" customHeight="1">
      <c r="A333" s="1976" t="s">
        <v>2149</v>
      </c>
      <c r="B333" s="1976" t="s">
        <v>14</v>
      </c>
      <c r="C333" s="1976" t="s">
        <v>2916</v>
      </c>
      <c r="D333" s="1976" t="s">
        <v>2917</v>
      </c>
      <c r="E333" s="1976" t="s">
        <v>2209</v>
      </c>
      <c r="F333" s="1976" t="s">
        <v>2918</v>
      </c>
      <c r="G333" s="1976" t="s">
        <v>18</v>
      </c>
      <c r="H333" s="1976" t="s">
        <v>18</v>
      </c>
      <c r="I333" s="1976" t="s">
        <v>730</v>
      </c>
    </row>
    <row r="334" spans="1:9" ht="11.25" customHeight="1">
      <c r="A334" s="1976" t="s">
        <v>2149</v>
      </c>
      <c r="B334" s="1976" t="s">
        <v>14</v>
      </c>
      <c r="C334" s="1976" t="s">
        <v>2919</v>
      </c>
      <c r="D334" s="1976" t="s">
        <v>2920</v>
      </c>
      <c r="E334" s="1976" t="s">
        <v>2209</v>
      </c>
      <c r="F334" s="1976" t="s">
        <v>2921</v>
      </c>
      <c r="G334" s="1976" t="s">
        <v>18</v>
      </c>
      <c r="H334" s="1976" t="s">
        <v>18</v>
      </c>
      <c r="I334" s="1976" t="s">
        <v>730</v>
      </c>
    </row>
    <row r="335" spans="1:9" ht="11.25" customHeight="1">
      <c r="A335" s="1976" t="s">
        <v>2149</v>
      </c>
      <c r="B335" s="1976" t="s">
        <v>14</v>
      </c>
      <c r="C335" s="1976" t="s">
        <v>2150</v>
      </c>
      <c r="D335" s="1976" t="s">
        <v>2151</v>
      </c>
      <c r="E335" s="1976" t="s">
        <v>2152</v>
      </c>
      <c r="F335" s="1976" t="s">
        <v>2153</v>
      </c>
      <c r="G335" s="1976" t="s">
        <v>2154</v>
      </c>
      <c r="H335" s="1976" t="s">
        <v>18</v>
      </c>
      <c r="I335" s="1976" t="s">
        <v>782</v>
      </c>
    </row>
    <row r="336" spans="1:9" ht="11.25" customHeight="1">
      <c r="A336" s="1976" t="s">
        <v>2149</v>
      </c>
      <c r="B336" s="1976" t="s">
        <v>14</v>
      </c>
      <c r="C336" s="1976" t="s">
        <v>2155</v>
      </c>
      <c r="D336" s="1976" t="s">
        <v>2151</v>
      </c>
      <c r="E336" s="1976" t="s">
        <v>2152</v>
      </c>
      <c r="F336" s="1976" t="s">
        <v>2156</v>
      </c>
      <c r="G336" s="1976" t="s">
        <v>18</v>
      </c>
      <c r="H336" s="1976" t="s">
        <v>18</v>
      </c>
      <c r="I336" s="1976" t="s">
        <v>782</v>
      </c>
    </row>
    <row r="337" spans="1:9" ht="11.25" customHeight="1">
      <c r="A337" s="1976" t="s">
        <v>2149</v>
      </c>
      <c r="B337" s="1976" t="s">
        <v>14</v>
      </c>
      <c r="C337" s="1976" t="s">
        <v>2526</v>
      </c>
      <c r="D337" s="1976" t="s">
        <v>2527</v>
      </c>
      <c r="E337" s="1976" t="s">
        <v>2528</v>
      </c>
      <c r="F337" s="1976" t="s">
        <v>2349</v>
      </c>
      <c r="G337" s="1976" t="s">
        <v>18</v>
      </c>
      <c r="H337" s="1976" t="s">
        <v>18</v>
      </c>
      <c r="I337" s="1976" t="s">
        <v>782</v>
      </c>
    </row>
    <row r="338" spans="1:9" ht="11.25" customHeight="1">
      <c r="A338" s="1976" t="s">
        <v>2149</v>
      </c>
      <c r="B338" s="1976" t="s">
        <v>14</v>
      </c>
      <c r="C338" s="1976" t="s">
        <v>2180</v>
      </c>
      <c r="D338" s="1976" t="s">
        <v>2181</v>
      </c>
      <c r="E338" s="1976" t="s">
        <v>2166</v>
      </c>
      <c r="F338" s="1976" t="s">
        <v>2182</v>
      </c>
      <c r="G338" s="1976" t="s">
        <v>18</v>
      </c>
      <c r="H338" s="1976" t="s">
        <v>18</v>
      </c>
      <c r="I338" s="1976" t="s">
        <v>782</v>
      </c>
    </row>
    <row r="339" spans="1:9" ht="11.25" customHeight="1">
      <c r="A339" s="1976" t="s">
        <v>2149</v>
      </c>
      <c r="B339" s="1976" t="s">
        <v>14</v>
      </c>
      <c r="C339" s="1976" t="s">
        <v>2529</v>
      </c>
      <c r="D339" s="1976" t="s">
        <v>2530</v>
      </c>
      <c r="E339" s="1976" t="s">
        <v>2531</v>
      </c>
      <c r="F339" s="1976" t="s">
        <v>2213</v>
      </c>
      <c r="G339" s="1976" t="s">
        <v>18</v>
      </c>
      <c r="H339" s="1976" t="s">
        <v>18</v>
      </c>
      <c r="I339" s="1976" t="s">
        <v>782</v>
      </c>
    </row>
    <row r="340" spans="1:9" ht="11.25" customHeight="1">
      <c r="A340" s="1976" t="s">
        <v>2149</v>
      </c>
      <c r="B340" s="1976" t="s">
        <v>14</v>
      </c>
      <c r="C340" s="1976" t="s">
        <v>2922</v>
      </c>
      <c r="D340" s="1976" t="s">
        <v>2923</v>
      </c>
      <c r="E340" s="1976" t="s">
        <v>2924</v>
      </c>
      <c r="F340" s="1976" t="s">
        <v>2240</v>
      </c>
      <c r="G340" s="1976" t="s">
        <v>18</v>
      </c>
      <c r="H340" s="1976" t="s">
        <v>18</v>
      </c>
      <c r="I340" s="1976" t="s">
        <v>782</v>
      </c>
    </row>
    <row r="341" spans="1:9" ht="11.25" customHeight="1">
      <c r="A341" s="1976" t="s">
        <v>2149</v>
      </c>
      <c r="B341" s="1976" t="s">
        <v>14</v>
      </c>
      <c r="C341" s="1976" t="s">
        <v>2546</v>
      </c>
      <c r="D341" s="1976" t="s">
        <v>2547</v>
      </c>
      <c r="E341" s="1976" t="s">
        <v>2548</v>
      </c>
      <c r="F341" s="1976" t="s">
        <v>537</v>
      </c>
      <c r="G341" s="1976" t="s">
        <v>18</v>
      </c>
      <c r="H341" s="1976" t="s">
        <v>18</v>
      </c>
      <c r="I341" s="1976" t="s">
        <v>782</v>
      </c>
    </row>
    <row r="342" spans="1:9" ht="11.25" customHeight="1">
      <c r="A342" s="1976" t="s">
        <v>2149</v>
      </c>
      <c r="B342" s="1976" t="s">
        <v>14</v>
      </c>
      <c r="C342" s="1976" t="s">
        <v>2552</v>
      </c>
      <c r="D342" s="1976" t="s">
        <v>2553</v>
      </c>
      <c r="E342" s="1976" t="s">
        <v>2554</v>
      </c>
      <c r="F342" s="1976" t="s">
        <v>537</v>
      </c>
      <c r="G342" s="1976" t="s">
        <v>2555</v>
      </c>
      <c r="H342" s="1976" t="s">
        <v>18</v>
      </c>
      <c r="I342" s="1976" t="s">
        <v>782</v>
      </c>
    </row>
    <row r="343" spans="1:9" ht="11.25" customHeight="1">
      <c r="A343" s="1976" t="s">
        <v>2149</v>
      </c>
      <c r="B343" s="1976" t="s">
        <v>14</v>
      </c>
      <c r="C343" s="1976" t="s">
        <v>2203</v>
      </c>
      <c r="D343" s="1976" t="s">
        <v>2204</v>
      </c>
      <c r="E343" s="1976" t="s">
        <v>2205</v>
      </c>
      <c r="F343" s="1976" t="s">
        <v>2206</v>
      </c>
      <c r="G343" s="1976" t="s">
        <v>18</v>
      </c>
      <c r="H343" s="1976" t="s">
        <v>18</v>
      </c>
      <c r="I343" s="1976" t="s">
        <v>782</v>
      </c>
    </row>
    <row r="344" spans="1:9" ht="11.25" customHeight="1">
      <c r="A344" s="1976" t="s">
        <v>2149</v>
      </c>
      <c r="B344" s="1976" t="s">
        <v>14</v>
      </c>
      <c r="C344" s="1976" t="s">
        <v>2207</v>
      </c>
      <c r="D344" s="1976" t="s">
        <v>2208</v>
      </c>
      <c r="E344" s="1976" t="s">
        <v>2209</v>
      </c>
      <c r="F344" s="1976" t="s">
        <v>2210</v>
      </c>
      <c r="G344" s="1976" t="s">
        <v>18</v>
      </c>
      <c r="H344" s="1976" t="s">
        <v>18</v>
      </c>
      <c r="I344" s="1976" t="s">
        <v>782</v>
      </c>
    </row>
    <row r="345" spans="1:9" ht="11.25" customHeight="1">
      <c r="A345" s="1976" t="s">
        <v>2149</v>
      </c>
      <c r="B345" s="1976" t="s">
        <v>14</v>
      </c>
      <c r="C345" s="1976" t="s">
        <v>2217</v>
      </c>
      <c r="D345" s="1976" t="s">
        <v>2218</v>
      </c>
      <c r="E345" s="1976" t="s">
        <v>2205</v>
      </c>
      <c r="F345" s="1976" t="s">
        <v>2219</v>
      </c>
      <c r="G345" s="1976" t="s">
        <v>18</v>
      </c>
      <c r="H345" s="1976" t="s">
        <v>18</v>
      </c>
      <c r="I345" s="1976" t="s">
        <v>782</v>
      </c>
    </row>
    <row r="346" spans="1:9" ht="11.25" customHeight="1">
      <c r="A346" s="1976" t="s">
        <v>2149</v>
      </c>
      <c r="B346" s="1976" t="s">
        <v>14</v>
      </c>
      <c r="C346" s="1976" t="s">
        <v>2226</v>
      </c>
      <c r="D346" s="1976" t="s">
        <v>2227</v>
      </c>
      <c r="E346" s="1976" t="s">
        <v>2228</v>
      </c>
      <c r="F346" s="1976" t="s">
        <v>2229</v>
      </c>
      <c r="G346" s="1976" t="s">
        <v>18</v>
      </c>
      <c r="H346" s="1976" t="s">
        <v>18</v>
      </c>
      <c r="I346" s="1976" t="s">
        <v>782</v>
      </c>
    </row>
    <row r="347" spans="1:9" ht="11.25" customHeight="1">
      <c r="A347" s="1976" t="s">
        <v>2149</v>
      </c>
      <c r="B347" s="1976" t="s">
        <v>14</v>
      </c>
      <c r="C347" s="1976" t="s">
        <v>2565</v>
      </c>
      <c r="D347" s="1976" t="s">
        <v>2566</v>
      </c>
      <c r="E347" s="1976" t="s">
        <v>2567</v>
      </c>
      <c r="F347" s="1976" t="s">
        <v>2264</v>
      </c>
      <c r="G347" s="1976" t="s">
        <v>18</v>
      </c>
      <c r="H347" s="1976" t="s">
        <v>18</v>
      </c>
      <c r="I347" s="1976" t="s">
        <v>782</v>
      </c>
    </row>
    <row r="348" spans="1:9" ht="11.25" customHeight="1">
      <c r="A348" s="1976" t="s">
        <v>2149</v>
      </c>
      <c r="B348" s="1976" t="s">
        <v>14</v>
      </c>
      <c r="C348" s="1976" t="s">
        <v>2568</v>
      </c>
      <c r="D348" s="1976" t="s">
        <v>2566</v>
      </c>
      <c r="E348" s="1976" t="s">
        <v>2569</v>
      </c>
      <c r="F348" s="1976" t="s">
        <v>2251</v>
      </c>
      <c r="G348" s="1976" t="s">
        <v>18</v>
      </c>
      <c r="H348" s="1976" t="s">
        <v>18</v>
      </c>
      <c r="I348" s="1976" t="s">
        <v>782</v>
      </c>
    </row>
    <row r="349" spans="1:9" ht="11.25" customHeight="1">
      <c r="A349" s="1976" t="s">
        <v>2149</v>
      </c>
      <c r="B349" s="1976" t="s">
        <v>14</v>
      </c>
      <c r="C349" s="1976" t="s">
        <v>2573</v>
      </c>
      <c r="D349" s="1976" t="s">
        <v>2574</v>
      </c>
      <c r="E349" s="1976" t="s">
        <v>2575</v>
      </c>
      <c r="F349" s="1976" t="s">
        <v>2236</v>
      </c>
      <c r="G349" s="1976" t="s">
        <v>18</v>
      </c>
      <c r="H349" s="1976" t="s">
        <v>18</v>
      </c>
      <c r="I349" s="1976" t="s">
        <v>782</v>
      </c>
    </row>
    <row r="350" spans="1:9" ht="11.25" customHeight="1">
      <c r="A350" s="1976" t="s">
        <v>2149</v>
      </c>
      <c r="B350" s="1976" t="s">
        <v>14</v>
      </c>
      <c r="C350" s="1976" t="s">
        <v>2237</v>
      </c>
      <c r="D350" s="1976" t="s">
        <v>2238</v>
      </c>
      <c r="E350" s="1976" t="s">
        <v>2239</v>
      </c>
      <c r="F350" s="1976" t="s">
        <v>2240</v>
      </c>
      <c r="G350" s="1976" t="s">
        <v>18</v>
      </c>
      <c r="H350" s="1976" t="s">
        <v>18</v>
      </c>
      <c r="I350" s="1976" t="s">
        <v>782</v>
      </c>
    </row>
    <row r="351" spans="1:9" ht="11.25" customHeight="1">
      <c r="A351" s="1976" t="s">
        <v>2149</v>
      </c>
      <c r="B351" s="1976" t="s">
        <v>14</v>
      </c>
      <c r="C351" s="1976" t="s">
        <v>2576</v>
      </c>
      <c r="D351" s="1976" t="s">
        <v>2577</v>
      </c>
      <c r="E351" s="1976" t="s">
        <v>2578</v>
      </c>
      <c r="F351" s="1976" t="s">
        <v>2579</v>
      </c>
      <c r="G351" s="1976" t="s">
        <v>18</v>
      </c>
      <c r="H351" s="1976" t="s">
        <v>18</v>
      </c>
      <c r="I351" s="1976" t="s">
        <v>782</v>
      </c>
    </row>
    <row r="352" spans="1:9" ht="11.25" customHeight="1">
      <c r="A352" s="1976" t="s">
        <v>2149</v>
      </c>
      <c r="B352" s="1976" t="s">
        <v>14</v>
      </c>
      <c r="C352" s="1976" t="s">
        <v>2241</v>
      </c>
      <c r="D352" s="1976" t="s">
        <v>2242</v>
      </c>
      <c r="E352" s="1976" t="s">
        <v>2243</v>
      </c>
      <c r="F352" s="1976" t="s">
        <v>2236</v>
      </c>
      <c r="G352" s="1976" t="s">
        <v>18</v>
      </c>
      <c r="H352" s="1976" t="s">
        <v>18</v>
      </c>
      <c r="I352" s="1976" t="s">
        <v>782</v>
      </c>
    </row>
    <row r="353" spans="1:9" ht="11.25" customHeight="1">
      <c r="A353" s="1976" t="s">
        <v>2149</v>
      </c>
      <c r="B353" s="1976" t="s">
        <v>14</v>
      </c>
      <c r="C353" s="1976" t="s">
        <v>2584</v>
      </c>
      <c r="D353" s="1976" t="s">
        <v>2585</v>
      </c>
      <c r="E353" s="1976" t="s">
        <v>2586</v>
      </c>
      <c r="F353" s="1976" t="s">
        <v>2587</v>
      </c>
      <c r="G353" s="1976" t="s">
        <v>18</v>
      </c>
      <c r="H353" s="1976" t="s">
        <v>18</v>
      </c>
      <c r="I353" s="1976" t="s">
        <v>782</v>
      </c>
    </row>
    <row r="354" spans="1:9" ht="11.25" customHeight="1">
      <c r="A354" s="1976" t="s">
        <v>2149</v>
      </c>
      <c r="B354" s="1976" t="s">
        <v>14</v>
      </c>
      <c r="C354" s="1976" t="s">
        <v>2268</v>
      </c>
      <c r="D354" s="1976" t="s">
        <v>2269</v>
      </c>
      <c r="E354" s="1976" t="s">
        <v>2270</v>
      </c>
      <c r="F354" s="1976" t="s">
        <v>2240</v>
      </c>
      <c r="G354" s="1976" t="s">
        <v>18</v>
      </c>
      <c r="H354" s="1976" t="s">
        <v>18</v>
      </c>
      <c r="I354" s="1976" t="s">
        <v>782</v>
      </c>
    </row>
    <row r="355" spans="1:9" ht="11.25" customHeight="1">
      <c r="A355" s="1976" t="s">
        <v>2149</v>
      </c>
      <c r="B355" s="1976" t="s">
        <v>14</v>
      </c>
      <c r="C355" s="1976" t="s">
        <v>2271</v>
      </c>
      <c r="D355" s="1976" t="s">
        <v>2272</v>
      </c>
      <c r="E355" s="1976" t="s">
        <v>2273</v>
      </c>
      <c r="F355" s="1976" t="s">
        <v>2229</v>
      </c>
      <c r="G355" s="1976" t="s">
        <v>18</v>
      </c>
      <c r="H355" s="1976" t="s">
        <v>18</v>
      </c>
      <c r="I355" s="1976" t="s">
        <v>782</v>
      </c>
    </row>
    <row r="356" spans="1:9" ht="11.25" customHeight="1">
      <c r="A356" s="1976" t="s">
        <v>2149</v>
      </c>
      <c r="B356" s="1976" t="s">
        <v>14</v>
      </c>
      <c r="C356" s="1976" t="s">
        <v>2274</v>
      </c>
      <c r="D356" s="1976" t="s">
        <v>2275</v>
      </c>
      <c r="E356" s="1976" t="s">
        <v>2276</v>
      </c>
      <c r="F356" s="1976" t="s">
        <v>2229</v>
      </c>
      <c r="G356" s="1976" t="s">
        <v>18</v>
      </c>
      <c r="H356" s="1976" t="s">
        <v>18</v>
      </c>
      <c r="I356" s="1976" t="s">
        <v>782</v>
      </c>
    </row>
    <row r="357" spans="1:9" ht="11.25" customHeight="1">
      <c r="A357" s="1976" t="s">
        <v>2149</v>
      </c>
      <c r="B357" s="1976" t="s">
        <v>14</v>
      </c>
      <c r="C357" s="1976" t="s">
        <v>2614</v>
      </c>
      <c r="D357" s="1976" t="s">
        <v>2615</v>
      </c>
      <c r="E357" s="1976" t="s">
        <v>2616</v>
      </c>
      <c r="F357" s="1976" t="s">
        <v>2260</v>
      </c>
      <c r="G357" s="1976" t="s">
        <v>18</v>
      </c>
      <c r="H357" s="1976" t="s">
        <v>18</v>
      </c>
      <c r="I357" s="1976" t="s">
        <v>782</v>
      </c>
    </row>
    <row r="358" spans="1:9" ht="11.25" customHeight="1">
      <c r="A358" s="1976" t="s">
        <v>2149</v>
      </c>
      <c r="B358" s="1976" t="s">
        <v>14</v>
      </c>
      <c r="C358" s="1976" t="s">
        <v>2277</v>
      </c>
      <c r="D358" s="1976" t="s">
        <v>2278</v>
      </c>
      <c r="E358" s="1976" t="s">
        <v>2279</v>
      </c>
      <c r="F358" s="1976" t="s">
        <v>2280</v>
      </c>
      <c r="G358" s="1976" t="s">
        <v>18</v>
      </c>
      <c r="H358" s="1976" t="s">
        <v>18</v>
      </c>
      <c r="I358" s="1976" t="s">
        <v>782</v>
      </c>
    </row>
    <row r="359" spans="1:9" ht="11.25" customHeight="1">
      <c r="A359" s="1976" t="s">
        <v>2149</v>
      </c>
      <c r="B359" s="1976" t="s">
        <v>14</v>
      </c>
      <c r="C359" s="1976" t="s">
        <v>2621</v>
      </c>
      <c r="D359" s="1976" t="s">
        <v>2622</v>
      </c>
      <c r="E359" s="1976" t="s">
        <v>2623</v>
      </c>
      <c r="F359" s="1976" t="s">
        <v>2240</v>
      </c>
      <c r="G359" s="1976" t="s">
        <v>18</v>
      </c>
      <c r="H359" s="1976" t="s">
        <v>18</v>
      </c>
      <c r="I359" s="1976" t="s">
        <v>782</v>
      </c>
    </row>
    <row r="360" spans="1:9" ht="11.25" customHeight="1">
      <c r="A360" s="1976" t="s">
        <v>2149</v>
      </c>
      <c r="B360" s="1976" t="s">
        <v>14</v>
      </c>
      <c r="C360" s="1976" t="s">
        <v>2628</v>
      </c>
      <c r="D360" s="1976" t="s">
        <v>2629</v>
      </c>
      <c r="E360" s="1976" t="s">
        <v>2630</v>
      </c>
      <c r="F360" s="1976" t="s">
        <v>2229</v>
      </c>
      <c r="G360" s="1976" t="s">
        <v>18</v>
      </c>
      <c r="H360" s="1976" t="s">
        <v>18</v>
      </c>
      <c r="I360" s="1976" t="s">
        <v>782</v>
      </c>
    </row>
    <row r="361" spans="1:9" ht="11.25" customHeight="1">
      <c r="A361" s="1976" t="s">
        <v>2149</v>
      </c>
      <c r="B361" s="1976" t="s">
        <v>14</v>
      </c>
      <c r="C361" s="1976" t="s">
        <v>2638</v>
      </c>
      <c r="D361" s="1976" t="s">
        <v>2639</v>
      </c>
      <c r="E361" s="1976" t="s">
        <v>2640</v>
      </c>
      <c r="F361" s="1976" t="s">
        <v>2198</v>
      </c>
      <c r="G361" s="1976" t="s">
        <v>18</v>
      </c>
      <c r="H361" s="1976" t="s">
        <v>18</v>
      </c>
      <c r="I361" s="1976" t="s">
        <v>782</v>
      </c>
    </row>
    <row r="362" spans="1:9" ht="11.25" customHeight="1">
      <c r="A362" s="1976" t="s">
        <v>2149</v>
      </c>
      <c r="B362" s="1976" t="s">
        <v>14</v>
      </c>
      <c r="C362" s="1976" t="s">
        <v>2288</v>
      </c>
      <c r="D362" s="1976" t="s">
        <v>2289</v>
      </c>
      <c r="E362" s="1976" t="s">
        <v>2290</v>
      </c>
      <c r="F362" s="1976" t="s">
        <v>2240</v>
      </c>
      <c r="G362" s="1976" t="s">
        <v>18</v>
      </c>
      <c r="H362" s="1976" t="s">
        <v>18</v>
      </c>
      <c r="I362" s="1976" t="s">
        <v>782</v>
      </c>
    </row>
    <row r="363" spans="1:9" ht="11.25" customHeight="1">
      <c r="A363" s="1976" t="s">
        <v>2149</v>
      </c>
      <c r="B363" s="1976" t="s">
        <v>14</v>
      </c>
      <c r="C363" s="1976" t="s">
        <v>2295</v>
      </c>
      <c r="D363" s="1976" t="s">
        <v>2296</v>
      </c>
      <c r="E363" s="1976" t="s">
        <v>2297</v>
      </c>
      <c r="F363" s="1976" t="s">
        <v>2280</v>
      </c>
      <c r="G363" s="1976" t="s">
        <v>18</v>
      </c>
      <c r="H363" s="1976" t="s">
        <v>18</v>
      </c>
      <c r="I363" s="1976" t="s">
        <v>782</v>
      </c>
    </row>
    <row r="364" spans="1:9" ht="11.25" customHeight="1">
      <c r="A364" s="1976" t="s">
        <v>2149</v>
      </c>
      <c r="B364" s="1976" t="s">
        <v>14</v>
      </c>
      <c r="C364" s="1976" t="s">
        <v>2298</v>
      </c>
      <c r="D364" s="1976" t="s">
        <v>2299</v>
      </c>
      <c r="E364" s="1976" t="s">
        <v>2300</v>
      </c>
      <c r="F364" s="1976" t="s">
        <v>2301</v>
      </c>
      <c r="G364" s="1976" t="s">
        <v>18</v>
      </c>
      <c r="H364" s="1976" t="s">
        <v>18</v>
      </c>
      <c r="I364" s="1976" t="s">
        <v>782</v>
      </c>
    </row>
    <row r="365" spans="1:9" ht="11.25" customHeight="1">
      <c r="A365" s="1976" t="s">
        <v>2149</v>
      </c>
      <c r="B365" s="1976" t="s">
        <v>14</v>
      </c>
      <c r="C365" s="1976" t="s">
        <v>2302</v>
      </c>
      <c r="D365" s="1976" t="s">
        <v>2303</v>
      </c>
      <c r="E365" s="1976" t="s">
        <v>2304</v>
      </c>
      <c r="F365" s="1976" t="s">
        <v>2305</v>
      </c>
      <c r="G365" s="1976" t="s">
        <v>18</v>
      </c>
      <c r="H365" s="1976" t="s">
        <v>18</v>
      </c>
      <c r="I365" s="1976" t="s">
        <v>782</v>
      </c>
    </row>
    <row r="366" spans="1:9" ht="11.25" customHeight="1">
      <c r="A366" s="1976" t="s">
        <v>2149</v>
      </c>
      <c r="B366" s="1976" t="s">
        <v>14</v>
      </c>
      <c r="C366" s="1976" t="s">
        <v>2306</v>
      </c>
      <c r="D366" s="1976" t="s">
        <v>2307</v>
      </c>
      <c r="E366" s="1976" t="s">
        <v>2308</v>
      </c>
      <c r="F366" s="1976" t="s">
        <v>2229</v>
      </c>
      <c r="G366" s="1976" t="s">
        <v>18</v>
      </c>
      <c r="H366" s="1976" t="s">
        <v>18</v>
      </c>
      <c r="I366" s="1976" t="s">
        <v>782</v>
      </c>
    </row>
    <row r="367" spans="1:9" ht="11.25" customHeight="1">
      <c r="A367" s="1976" t="s">
        <v>2149</v>
      </c>
      <c r="B367" s="1976" t="s">
        <v>14</v>
      </c>
      <c r="C367" s="1976" t="s">
        <v>2651</v>
      </c>
      <c r="D367" s="1976" t="s">
        <v>2652</v>
      </c>
      <c r="E367" s="1976" t="s">
        <v>2653</v>
      </c>
      <c r="F367" s="1976" t="s">
        <v>2654</v>
      </c>
      <c r="G367" s="1976" t="s">
        <v>18</v>
      </c>
      <c r="H367" s="1976" t="s">
        <v>18</v>
      </c>
      <c r="I367" s="1976" t="s">
        <v>782</v>
      </c>
    </row>
    <row r="368" spans="1:9" ht="11.25" customHeight="1">
      <c r="A368" s="1976" t="s">
        <v>2149</v>
      </c>
      <c r="B368" s="1976" t="s">
        <v>14</v>
      </c>
      <c r="C368" s="1976" t="s">
        <v>2309</v>
      </c>
      <c r="D368" s="1976" t="s">
        <v>2310</v>
      </c>
      <c r="E368" s="1976" t="s">
        <v>2311</v>
      </c>
      <c r="F368" s="1976" t="s">
        <v>2236</v>
      </c>
      <c r="G368" s="1976" t="s">
        <v>18</v>
      </c>
      <c r="H368" s="1976" t="s">
        <v>18</v>
      </c>
      <c r="I368" s="1976" t="s">
        <v>782</v>
      </c>
    </row>
    <row r="369" spans="1:9" ht="11.25" customHeight="1">
      <c r="A369" s="1976" t="s">
        <v>2149</v>
      </c>
      <c r="B369" s="1976" t="s">
        <v>14</v>
      </c>
      <c r="C369" s="1976" t="s">
        <v>2312</v>
      </c>
      <c r="D369" s="1976" t="s">
        <v>2313</v>
      </c>
      <c r="E369" s="1976" t="s">
        <v>2314</v>
      </c>
      <c r="F369" s="1976" t="s">
        <v>2186</v>
      </c>
      <c r="G369" s="1976" t="s">
        <v>18</v>
      </c>
      <c r="H369" s="1976" t="s">
        <v>18</v>
      </c>
      <c r="I369" s="1976" t="s">
        <v>782</v>
      </c>
    </row>
    <row r="370" spans="1:9" ht="11.25" customHeight="1">
      <c r="A370" s="1976" t="s">
        <v>2149</v>
      </c>
      <c r="B370" s="1976" t="s">
        <v>14</v>
      </c>
      <c r="C370" s="1976" t="s">
        <v>2665</v>
      </c>
      <c r="D370" s="1976" t="s">
        <v>2666</v>
      </c>
      <c r="E370" s="1976" t="s">
        <v>2667</v>
      </c>
      <c r="F370" s="1976" t="s">
        <v>2240</v>
      </c>
      <c r="G370" s="1976" t="s">
        <v>2668</v>
      </c>
      <c r="H370" s="1976" t="s">
        <v>18</v>
      </c>
      <c r="I370" s="1976" t="s">
        <v>782</v>
      </c>
    </row>
    <row r="371" spans="1:9" ht="11.25" customHeight="1">
      <c r="A371" s="1976" t="s">
        <v>2149</v>
      </c>
      <c r="B371" s="1976" t="s">
        <v>14</v>
      </c>
      <c r="C371" s="1976" t="s">
        <v>2322</v>
      </c>
      <c r="D371" s="1976" t="s">
        <v>2323</v>
      </c>
      <c r="E371" s="1976" t="s">
        <v>2324</v>
      </c>
      <c r="F371" s="1976" t="s">
        <v>2325</v>
      </c>
      <c r="G371" s="1976" t="s">
        <v>18</v>
      </c>
      <c r="H371" s="1976" t="s">
        <v>18</v>
      </c>
      <c r="I371" s="1976" t="s">
        <v>782</v>
      </c>
    </row>
    <row r="372" spans="1:9" ht="11.25" customHeight="1">
      <c r="A372" s="1976" t="s">
        <v>2149</v>
      </c>
      <c r="B372" s="1976" t="s">
        <v>14</v>
      </c>
      <c r="C372" s="1976" t="s">
        <v>2329</v>
      </c>
      <c r="D372" s="1976" t="s">
        <v>2330</v>
      </c>
      <c r="E372" s="1976" t="s">
        <v>2331</v>
      </c>
      <c r="F372" s="1976" t="s">
        <v>2264</v>
      </c>
      <c r="G372" s="1976" t="s">
        <v>18</v>
      </c>
      <c r="H372" s="1976" t="s">
        <v>18</v>
      </c>
      <c r="I372" s="1976" t="s">
        <v>782</v>
      </c>
    </row>
    <row r="373" spans="1:9" ht="11.25" customHeight="1">
      <c r="A373" s="1976" t="s">
        <v>2149</v>
      </c>
      <c r="B373" s="1976" t="s">
        <v>14</v>
      </c>
      <c r="C373" s="1976" t="s">
        <v>2332</v>
      </c>
      <c r="D373" s="1976" t="s">
        <v>2333</v>
      </c>
      <c r="E373" s="1976" t="s">
        <v>2334</v>
      </c>
      <c r="F373" s="1976" t="s">
        <v>2229</v>
      </c>
      <c r="G373" s="1976" t="s">
        <v>18</v>
      </c>
      <c r="H373" s="1976" t="s">
        <v>18</v>
      </c>
      <c r="I373" s="1976" t="s">
        <v>782</v>
      </c>
    </row>
    <row r="374" spans="1:9" ht="11.25" customHeight="1">
      <c r="A374" s="1976" t="s">
        <v>2149</v>
      </c>
      <c r="B374" s="1976" t="s">
        <v>14</v>
      </c>
      <c r="C374" s="1976" t="s">
        <v>2338</v>
      </c>
      <c r="D374" s="1976" t="s">
        <v>2339</v>
      </c>
      <c r="E374" s="1976" t="s">
        <v>2340</v>
      </c>
      <c r="F374" s="1976" t="s">
        <v>2229</v>
      </c>
      <c r="G374" s="1976" t="s">
        <v>2341</v>
      </c>
      <c r="H374" s="1976" t="s">
        <v>18</v>
      </c>
      <c r="I374" s="1976" t="s">
        <v>782</v>
      </c>
    </row>
    <row r="375" spans="1:9" ht="11.25" customHeight="1">
      <c r="A375" s="1976" t="s">
        <v>2149</v>
      </c>
      <c r="B375" s="1976" t="s">
        <v>14</v>
      </c>
      <c r="C375" s="1976" t="s">
        <v>2716</v>
      </c>
      <c r="D375" s="1976" t="s">
        <v>2717</v>
      </c>
      <c r="E375" s="1976" t="s">
        <v>2718</v>
      </c>
      <c r="F375" s="1976" t="s">
        <v>2264</v>
      </c>
      <c r="G375" s="1976" t="s">
        <v>18</v>
      </c>
      <c r="H375" s="1976" t="s">
        <v>18</v>
      </c>
      <c r="I375" s="1976" t="s">
        <v>782</v>
      </c>
    </row>
    <row r="376" spans="1:9" ht="11.25" customHeight="1">
      <c r="A376" s="1976" t="s">
        <v>2149</v>
      </c>
      <c r="B376" s="1976" t="s">
        <v>14</v>
      </c>
      <c r="C376" s="1976" t="s">
        <v>2350</v>
      </c>
      <c r="D376" s="1976" t="s">
        <v>2351</v>
      </c>
      <c r="E376" s="1976" t="s">
        <v>2352</v>
      </c>
      <c r="F376" s="1976" t="s">
        <v>2325</v>
      </c>
      <c r="G376" s="1976" t="s">
        <v>18</v>
      </c>
      <c r="H376" s="1976" t="s">
        <v>18</v>
      </c>
      <c r="I376" s="1976" t="s">
        <v>782</v>
      </c>
    </row>
    <row r="377" spans="1:9" ht="11.25" customHeight="1">
      <c r="A377" s="1976" t="s">
        <v>2149</v>
      </c>
      <c r="B377" s="1976" t="s">
        <v>14</v>
      </c>
      <c r="C377" s="1976" t="s">
        <v>2356</v>
      </c>
      <c r="D377" s="1976" t="s">
        <v>2357</v>
      </c>
      <c r="E377" s="1976" t="s">
        <v>2358</v>
      </c>
      <c r="F377" s="1976" t="s">
        <v>2294</v>
      </c>
      <c r="G377" s="1976" t="s">
        <v>18</v>
      </c>
      <c r="H377" s="1976" t="s">
        <v>18</v>
      </c>
      <c r="I377" s="1976" t="s">
        <v>782</v>
      </c>
    </row>
    <row r="378" spans="1:9" ht="11.25" customHeight="1">
      <c r="A378" s="1976" t="s">
        <v>2149</v>
      </c>
      <c r="B378" s="1976" t="s">
        <v>14</v>
      </c>
      <c r="C378" s="1976" t="s">
        <v>2925</v>
      </c>
      <c r="D378" s="1976" t="s">
        <v>2926</v>
      </c>
      <c r="E378" s="1976" t="s">
        <v>2927</v>
      </c>
      <c r="F378" s="1976" t="s">
        <v>2294</v>
      </c>
      <c r="G378" s="1976" t="s">
        <v>18</v>
      </c>
      <c r="H378" s="1976" t="s">
        <v>18</v>
      </c>
      <c r="I378" s="1976" t="s">
        <v>782</v>
      </c>
    </row>
    <row r="379" spans="1:9" ht="11.25" customHeight="1">
      <c r="A379" s="1976" t="s">
        <v>2149</v>
      </c>
      <c r="B379" s="1976" t="s">
        <v>14</v>
      </c>
      <c r="C379" s="1976" t="s">
        <v>2740</v>
      </c>
      <c r="D379" s="1976" t="s">
        <v>2741</v>
      </c>
      <c r="E379" s="1976" t="s">
        <v>2742</v>
      </c>
      <c r="F379" s="1976" t="s">
        <v>2430</v>
      </c>
      <c r="G379" s="1976" t="s">
        <v>18</v>
      </c>
      <c r="H379" s="1976" t="s">
        <v>18</v>
      </c>
      <c r="I379" s="1976" t="s">
        <v>782</v>
      </c>
    </row>
    <row r="380" spans="1:9" ht="11.25" customHeight="1">
      <c r="A380" s="1976" t="s">
        <v>2149</v>
      </c>
      <c r="B380" s="1976" t="s">
        <v>14</v>
      </c>
      <c r="C380" s="1976" t="s">
        <v>2747</v>
      </c>
      <c r="D380" s="1976" t="s">
        <v>2748</v>
      </c>
      <c r="E380" s="1976" t="s">
        <v>2749</v>
      </c>
      <c r="F380" s="1976" t="s">
        <v>2160</v>
      </c>
      <c r="G380" s="1976" t="s">
        <v>18</v>
      </c>
      <c r="H380" s="1976" t="s">
        <v>18</v>
      </c>
      <c r="I380" s="1976" t="s">
        <v>782</v>
      </c>
    </row>
    <row r="381" spans="1:9" ht="11.25" customHeight="1">
      <c r="A381" s="1976" t="s">
        <v>2149</v>
      </c>
      <c r="B381" s="1976" t="s">
        <v>14</v>
      </c>
      <c r="C381" s="1976" t="s">
        <v>2757</v>
      </c>
      <c r="D381" s="1976" t="s">
        <v>2370</v>
      </c>
      <c r="E381" s="1976" t="s">
        <v>2758</v>
      </c>
      <c r="F381" s="1976" t="s">
        <v>2256</v>
      </c>
      <c r="G381" s="1976" t="s">
        <v>18</v>
      </c>
      <c r="H381" s="1976" t="s">
        <v>18</v>
      </c>
      <c r="I381" s="1976" t="s">
        <v>782</v>
      </c>
    </row>
    <row r="382" spans="1:9" ht="11.25" customHeight="1">
      <c r="A382" s="1976" t="s">
        <v>2149</v>
      </c>
      <c r="B382" s="1976" t="s">
        <v>14</v>
      </c>
      <c r="C382" s="1976" t="s">
        <v>2759</v>
      </c>
      <c r="D382" s="1976" t="s">
        <v>2370</v>
      </c>
      <c r="E382" s="1976" t="s">
        <v>2760</v>
      </c>
      <c r="F382" s="1976" t="s">
        <v>2349</v>
      </c>
      <c r="G382" s="1976" t="s">
        <v>18</v>
      </c>
      <c r="H382" s="1976" t="s">
        <v>18</v>
      </c>
      <c r="I382" s="1976" t="s">
        <v>782</v>
      </c>
    </row>
    <row r="383" spans="1:9" ht="11.25" customHeight="1">
      <c r="A383" s="1976" t="s">
        <v>2149</v>
      </c>
      <c r="B383" s="1976" t="s">
        <v>14</v>
      </c>
      <c r="C383" s="1976" t="s">
        <v>2369</v>
      </c>
      <c r="D383" s="1976" t="s">
        <v>2370</v>
      </c>
      <c r="E383" s="1976" t="s">
        <v>2371</v>
      </c>
      <c r="F383" s="1976" t="s">
        <v>2229</v>
      </c>
      <c r="G383" s="1976" t="s">
        <v>18</v>
      </c>
      <c r="H383" s="1976" t="s">
        <v>18</v>
      </c>
      <c r="I383" s="1976" t="s">
        <v>782</v>
      </c>
    </row>
    <row r="384" spans="1:9" ht="11.25" customHeight="1">
      <c r="A384" s="1976" t="s">
        <v>2149</v>
      </c>
      <c r="B384" s="1976" t="s">
        <v>14</v>
      </c>
      <c r="C384" s="1976" t="s">
        <v>2769</v>
      </c>
      <c r="D384" s="1976" t="s">
        <v>2770</v>
      </c>
      <c r="E384" s="1976" t="s">
        <v>2771</v>
      </c>
      <c r="F384" s="1976" t="s">
        <v>2186</v>
      </c>
      <c r="G384" s="1976" t="s">
        <v>18</v>
      </c>
      <c r="H384" s="1976" t="s">
        <v>18</v>
      </c>
      <c r="I384" s="1976" t="s">
        <v>782</v>
      </c>
    </row>
    <row r="385" spans="1:9" ht="11.25" customHeight="1">
      <c r="A385" s="1976" t="s">
        <v>2149</v>
      </c>
      <c r="B385" s="1976" t="s">
        <v>14</v>
      </c>
      <c r="C385" s="1976" t="s">
        <v>2772</v>
      </c>
      <c r="D385" s="1976" t="s">
        <v>2773</v>
      </c>
      <c r="E385" s="1976" t="s">
        <v>2774</v>
      </c>
      <c r="F385" s="1976" t="s">
        <v>2325</v>
      </c>
      <c r="G385" s="1976" t="s">
        <v>18</v>
      </c>
      <c r="H385" s="1976" t="s">
        <v>18</v>
      </c>
      <c r="I385" s="1976" t="s">
        <v>782</v>
      </c>
    </row>
    <row r="386" spans="1:9" ht="11.25" customHeight="1">
      <c r="A386" s="1976" t="s">
        <v>2149</v>
      </c>
      <c r="B386" s="1976" t="s">
        <v>14</v>
      </c>
      <c r="C386" s="1976" t="s">
        <v>2775</v>
      </c>
      <c r="D386" s="1976" t="s">
        <v>2776</v>
      </c>
      <c r="E386" s="1976" t="s">
        <v>2777</v>
      </c>
      <c r="F386" s="1976" t="s">
        <v>2430</v>
      </c>
      <c r="G386" s="1976" t="s">
        <v>18</v>
      </c>
      <c r="H386" s="1976" t="s">
        <v>18</v>
      </c>
      <c r="I386" s="1976" t="s">
        <v>782</v>
      </c>
    </row>
    <row r="387" spans="1:9" ht="11.25" customHeight="1">
      <c r="A387" s="1976" t="s">
        <v>2149</v>
      </c>
      <c r="B387" s="1976" t="s">
        <v>14</v>
      </c>
      <c r="C387" s="1976" t="s">
        <v>2394</v>
      </c>
      <c r="D387" s="1976" t="s">
        <v>2395</v>
      </c>
      <c r="E387" s="1976" t="s">
        <v>2396</v>
      </c>
      <c r="F387" s="1976" t="s">
        <v>2229</v>
      </c>
      <c r="G387" s="1976" t="s">
        <v>18</v>
      </c>
      <c r="H387" s="1976" t="s">
        <v>18</v>
      </c>
      <c r="I387" s="1976" t="s">
        <v>782</v>
      </c>
    </row>
    <row r="388" spans="1:9" ht="11.25" customHeight="1">
      <c r="A388" s="1976" t="s">
        <v>2149</v>
      </c>
      <c r="B388" s="1976" t="s">
        <v>14</v>
      </c>
      <c r="C388" s="1976" t="s">
        <v>2928</v>
      </c>
      <c r="D388" s="1976" t="s">
        <v>2929</v>
      </c>
      <c r="E388" s="1976" t="s">
        <v>2930</v>
      </c>
      <c r="F388" s="1976" t="s">
        <v>2294</v>
      </c>
      <c r="G388" s="1976" t="s">
        <v>18</v>
      </c>
      <c r="H388" s="1976" t="s">
        <v>18</v>
      </c>
      <c r="I388" s="1976" t="s">
        <v>782</v>
      </c>
    </row>
    <row r="389" spans="1:9" ht="11.25" customHeight="1">
      <c r="A389" s="1976" t="s">
        <v>2149</v>
      </c>
      <c r="B389" s="1976" t="s">
        <v>14</v>
      </c>
      <c r="C389" s="1976" t="s">
        <v>2784</v>
      </c>
      <c r="D389" s="1976" t="s">
        <v>2785</v>
      </c>
      <c r="E389" s="1976" t="s">
        <v>2786</v>
      </c>
      <c r="F389" s="1976" t="s">
        <v>2284</v>
      </c>
      <c r="G389" s="1976" t="s">
        <v>18</v>
      </c>
      <c r="H389" s="1976" t="s">
        <v>18</v>
      </c>
      <c r="I389" s="1976" t="s">
        <v>782</v>
      </c>
    </row>
    <row r="390" spans="1:9" ht="11.25" customHeight="1">
      <c r="A390" s="1976" t="s">
        <v>2149</v>
      </c>
      <c r="B390" s="1976" t="s">
        <v>14</v>
      </c>
      <c r="C390" s="1976" t="s">
        <v>2931</v>
      </c>
      <c r="D390" s="1976" t="s">
        <v>2932</v>
      </c>
      <c r="E390" s="1976" t="s">
        <v>2933</v>
      </c>
      <c r="F390" s="1976" t="s">
        <v>2934</v>
      </c>
      <c r="G390" s="1976" t="s">
        <v>18</v>
      </c>
      <c r="H390" s="1976" t="s">
        <v>18</v>
      </c>
      <c r="I390" s="1976" t="s">
        <v>782</v>
      </c>
    </row>
    <row r="391" spans="1:9" ht="11.25" customHeight="1">
      <c r="A391" s="1976" t="s">
        <v>2149</v>
      </c>
      <c r="B391" s="1976" t="s">
        <v>14</v>
      </c>
      <c r="C391" s="1976" t="s">
        <v>2935</v>
      </c>
      <c r="D391" s="1976" t="s">
        <v>2936</v>
      </c>
      <c r="E391" s="1976" t="s">
        <v>2937</v>
      </c>
      <c r="F391" s="1976" t="s">
        <v>2325</v>
      </c>
      <c r="G391" s="1976" t="s">
        <v>2938</v>
      </c>
      <c r="H391" s="1976" t="s">
        <v>18</v>
      </c>
      <c r="I391" s="1976" t="s">
        <v>782</v>
      </c>
    </row>
    <row r="392" spans="1:9" ht="11.25" customHeight="1">
      <c r="A392" s="1976" t="s">
        <v>2149</v>
      </c>
      <c r="B392" s="1976" t="s">
        <v>14</v>
      </c>
      <c r="C392" s="1976" t="s">
        <v>2939</v>
      </c>
      <c r="D392" s="1976" t="s">
        <v>2936</v>
      </c>
      <c r="E392" s="1976" t="s">
        <v>2940</v>
      </c>
      <c r="F392" s="1976" t="s">
        <v>2284</v>
      </c>
      <c r="G392" s="1976" t="s">
        <v>18</v>
      </c>
      <c r="H392" s="1976" t="s">
        <v>18</v>
      </c>
      <c r="I392" s="1976" t="s">
        <v>782</v>
      </c>
    </row>
    <row r="393" spans="1:9" ht="11.25" customHeight="1">
      <c r="A393" s="1976" t="s">
        <v>2149</v>
      </c>
      <c r="B393" s="1976" t="s">
        <v>14</v>
      </c>
      <c r="C393" s="1976" t="s">
        <v>2941</v>
      </c>
      <c r="D393" s="1976" t="s">
        <v>2942</v>
      </c>
      <c r="E393" s="1976" t="s">
        <v>2943</v>
      </c>
      <c r="F393" s="1976" t="s">
        <v>2186</v>
      </c>
      <c r="G393" s="1976" t="s">
        <v>18</v>
      </c>
      <c r="H393" s="1976" t="s">
        <v>18</v>
      </c>
      <c r="I393" s="1976" t="s">
        <v>782</v>
      </c>
    </row>
    <row r="394" spans="1:9" ht="11.25" customHeight="1">
      <c r="A394" s="1976" t="s">
        <v>2149</v>
      </c>
      <c r="B394" s="1976" t="s">
        <v>14</v>
      </c>
      <c r="C394" s="1976" t="s">
        <v>2799</v>
      </c>
      <c r="D394" s="1976" t="s">
        <v>2800</v>
      </c>
      <c r="E394" s="1976" t="s">
        <v>2801</v>
      </c>
      <c r="F394" s="1976" t="s">
        <v>2365</v>
      </c>
      <c r="G394" s="1976" t="s">
        <v>18</v>
      </c>
      <c r="H394" s="1976" t="s">
        <v>18</v>
      </c>
      <c r="I394" s="1976" t="s">
        <v>782</v>
      </c>
    </row>
    <row r="395" spans="1:9" ht="11.25" customHeight="1">
      <c r="A395" s="1976" t="s">
        <v>2149</v>
      </c>
      <c r="B395" s="1976" t="s">
        <v>14</v>
      </c>
      <c r="C395" s="1976" t="s">
        <v>2802</v>
      </c>
      <c r="D395" s="1976" t="s">
        <v>2803</v>
      </c>
      <c r="E395" s="1976" t="s">
        <v>2804</v>
      </c>
      <c r="F395" s="1976" t="s">
        <v>2240</v>
      </c>
      <c r="G395" s="1976" t="s">
        <v>18</v>
      </c>
      <c r="H395" s="1976" t="s">
        <v>18</v>
      </c>
      <c r="I395" s="1976" t="s">
        <v>782</v>
      </c>
    </row>
    <row r="396" spans="1:9" ht="11.25" customHeight="1">
      <c r="A396" s="1976" t="s">
        <v>2149</v>
      </c>
      <c r="B396" s="1976" t="s">
        <v>14</v>
      </c>
      <c r="C396" s="1976" t="s">
        <v>2944</v>
      </c>
      <c r="D396" s="1976" t="s">
        <v>2945</v>
      </c>
      <c r="E396" s="1976" t="s">
        <v>2946</v>
      </c>
      <c r="F396" s="1976" t="s">
        <v>2284</v>
      </c>
      <c r="G396" s="1976" t="s">
        <v>18</v>
      </c>
      <c r="H396" s="1976" t="s">
        <v>18</v>
      </c>
      <c r="I396" s="1976" t="s">
        <v>782</v>
      </c>
    </row>
    <row r="397" spans="1:9" ht="11.25" customHeight="1">
      <c r="A397" s="1976" t="s">
        <v>2149</v>
      </c>
      <c r="B397" s="1976" t="s">
        <v>14</v>
      </c>
      <c r="C397" s="1976" t="s">
        <v>2811</v>
      </c>
      <c r="D397" s="1976" t="s">
        <v>2809</v>
      </c>
      <c r="E397" s="1976" t="s">
        <v>2812</v>
      </c>
      <c r="F397" s="1976" t="s">
        <v>2430</v>
      </c>
      <c r="G397" s="1976" t="s">
        <v>18</v>
      </c>
      <c r="H397" s="1976" t="s">
        <v>18</v>
      </c>
      <c r="I397" s="1976" t="s">
        <v>782</v>
      </c>
    </row>
    <row r="398" spans="1:9" ht="11.25" customHeight="1">
      <c r="A398" s="1976" t="s">
        <v>2149</v>
      </c>
      <c r="B398" s="1976" t="s">
        <v>14</v>
      </c>
      <c r="C398" s="1976" t="s">
        <v>2822</v>
      </c>
      <c r="D398" s="1976" t="s">
        <v>2823</v>
      </c>
      <c r="E398" s="1976" t="s">
        <v>2824</v>
      </c>
      <c r="F398" s="1976" t="s">
        <v>2240</v>
      </c>
      <c r="G398" s="1976" t="s">
        <v>18</v>
      </c>
      <c r="H398" s="1976" t="s">
        <v>18</v>
      </c>
      <c r="I398" s="1976" t="s">
        <v>782</v>
      </c>
    </row>
    <row r="399" spans="1:9" ht="11.25" customHeight="1">
      <c r="A399" s="1976" t="s">
        <v>2149</v>
      </c>
      <c r="B399" s="1976" t="s">
        <v>14</v>
      </c>
      <c r="C399" s="1976" t="s">
        <v>2421</v>
      </c>
      <c r="D399" s="1976" t="s">
        <v>2422</v>
      </c>
      <c r="E399" s="1976" t="s">
        <v>2423</v>
      </c>
      <c r="F399" s="1976" t="s">
        <v>2260</v>
      </c>
      <c r="G399" s="1976" t="s">
        <v>18</v>
      </c>
      <c r="H399" s="1976" t="s">
        <v>18</v>
      </c>
      <c r="I399" s="1976" t="s">
        <v>782</v>
      </c>
    </row>
    <row r="400" spans="1:9" ht="11.25" customHeight="1">
      <c r="A400" s="1976" t="s">
        <v>2149</v>
      </c>
      <c r="B400" s="1976" t="s">
        <v>14</v>
      </c>
      <c r="C400" s="1976" t="s">
        <v>2829</v>
      </c>
      <c r="D400" s="1976" t="s">
        <v>2830</v>
      </c>
      <c r="E400" s="1976" t="s">
        <v>2831</v>
      </c>
      <c r="F400" s="1976" t="s">
        <v>2251</v>
      </c>
      <c r="G400" s="1976" t="s">
        <v>18</v>
      </c>
      <c r="H400" s="1976" t="s">
        <v>18</v>
      </c>
      <c r="I400" s="1976" t="s">
        <v>782</v>
      </c>
    </row>
    <row r="401" spans="1:9" ht="11.25" customHeight="1">
      <c r="A401" s="1976" t="s">
        <v>2149</v>
      </c>
      <c r="B401" s="1976" t="s">
        <v>14</v>
      </c>
      <c r="C401" s="1976" t="s">
        <v>2835</v>
      </c>
      <c r="D401" s="1976" t="s">
        <v>2836</v>
      </c>
      <c r="E401" s="1976" t="s">
        <v>2837</v>
      </c>
      <c r="F401" s="1976" t="s">
        <v>2240</v>
      </c>
      <c r="G401" s="1976" t="s">
        <v>18</v>
      </c>
      <c r="H401" s="1976" t="s">
        <v>18</v>
      </c>
      <c r="I401" s="1976" t="s">
        <v>782</v>
      </c>
    </row>
    <row r="402" spans="1:9" ht="11.25" customHeight="1">
      <c r="A402" s="1976" t="s">
        <v>2149</v>
      </c>
      <c r="B402" s="1976" t="s">
        <v>14</v>
      </c>
      <c r="C402" s="1976" t="s">
        <v>2484</v>
      </c>
      <c r="D402" s="1976" t="s">
        <v>2485</v>
      </c>
      <c r="E402" s="1976" t="s">
        <v>2486</v>
      </c>
      <c r="F402" s="1976" t="s">
        <v>2171</v>
      </c>
      <c r="G402" s="1976" t="s">
        <v>18</v>
      </c>
      <c r="H402" s="1976" t="s">
        <v>18</v>
      </c>
      <c r="I402" s="1976" t="s">
        <v>782</v>
      </c>
    </row>
    <row r="403" spans="1:9" ht="11.25" customHeight="1">
      <c r="A403" s="1976" t="s">
        <v>2149</v>
      </c>
      <c r="B403" s="1976" t="s">
        <v>14</v>
      </c>
      <c r="C403" s="1976" t="s">
        <v>2487</v>
      </c>
      <c r="D403" s="1976" t="s">
        <v>2488</v>
      </c>
      <c r="E403" s="1976" t="s">
        <v>2489</v>
      </c>
      <c r="F403" s="1976" t="s">
        <v>2416</v>
      </c>
      <c r="G403" s="1976" t="s">
        <v>18</v>
      </c>
      <c r="H403" s="1976" t="s">
        <v>18</v>
      </c>
      <c r="I403" s="1976" t="s">
        <v>782</v>
      </c>
    </row>
    <row r="404" spans="1:9" ht="11.25" customHeight="1">
      <c r="A404" s="1976" t="s">
        <v>2149</v>
      </c>
      <c r="B404" s="1976" t="s">
        <v>14</v>
      </c>
      <c r="C404" s="1976" t="s">
        <v>2947</v>
      </c>
      <c r="D404" s="1976" t="s">
        <v>2948</v>
      </c>
      <c r="E404" s="1976" t="s">
        <v>2949</v>
      </c>
      <c r="F404" s="1976" t="s">
        <v>2179</v>
      </c>
      <c r="G404" s="1976" t="s">
        <v>18</v>
      </c>
      <c r="H404" s="1976" t="s">
        <v>18</v>
      </c>
      <c r="I404" s="1976" t="s">
        <v>782</v>
      </c>
    </row>
    <row r="405" spans="1:9" ht="11.25" customHeight="1">
      <c r="A405" s="1976" t="s">
        <v>2149</v>
      </c>
      <c r="B405" s="1976" t="s">
        <v>14</v>
      </c>
      <c r="C405" s="1976" t="s">
        <v>2852</v>
      </c>
      <c r="D405" s="1976" t="s">
        <v>2853</v>
      </c>
      <c r="E405" s="1976" t="s">
        <v>2854</v>
      </c>
      <c r="F405" s="1976" t="s">
        <v>2430</v>
      </c>
      <c r="G405" s="1976" t="s">
        <v>18</v>
      </c>
      <c r="H405" s="1976" t="s">
        <v>18</v>
      </c>
      <c r="I405" s="1976" t="s">
        <v>782</v>
      </c>
    </row>
    <row r="406" spans="1:9" ht="11.25" customHeight="1">
      <c r="A406" s="1976" t="s">
        <v>2149</v>
      </c>
      <c r="B406" s="1976" t="s">
        <v>14</v>
      </c>
      <c r="C406" s="1976" t="s">
        <v>2907</v>
      </c>
      <c r="D406" s="1976" t="s">
        <v>2908</v>
      </c>
      <c r="E406" s="1976" t="s">
        <v>2909</v>
      </c>
      <c r="F406" s="1976" t="s">
        <v>2416</v>
      </c>
      <c r="G406" s="1976" t="s">
        <v>18</v>
      </c>
      <c r="H406" s="1976" t="s">
        <v>18</v>
      </c>
      <c r="I406" s="1976" t="s">
        <v>782</v>
      </c>
    </row>
    <row r="407" spans="1:9" ht="11.25" customHeight="1">
      <c r="A407" s="1976" t="s">
        <v>2149</v>
      </c>
      <c r="B407" s="1976" t="s">
        <v>14</v>
      </c>
      <c r="C407" s="1976" t="s">
        <v>2508</v>
      </c>
      <c r="D407" s="1976" t="s">
        <v>2509</v>
      </c>
      <c r="E407" s="1976" t="s">
        <v>2510</v>
      </c>
      <c r="F407" s="1976" t="s">
        <v>2260</v>
      </c>
      <c r="G407" s="1976" t="s">
        <v>18</v>
      </c>
      <c r="H407" s="1976" t="s">
        <v>18</v>
      </c>
      <c r="I407" s="1976" t="s">
        <v>782</v>
      </c>
    </row>
    <row r="408" spans="1:9" ht="11.25" customHeight="1">
      <c r="A408" s="1976" t="s">
        <v>2149</v>
      </c>
      <c r="B408" s="1976" t="s">
        <v>14</v>
      </c>
      <c r="C408" s="1976" t="s">
        <v>2522</v>
      </c>
      <c r="D408" s="1976" t="s">
        <v>2523</v>
      </c>
      <c r="E408" s="1976" t="s">
        <v>2524</v>
      </c>
      <c r="F408" s="1976" t="s">
        <v>2525</v>
      </c>
      <c r="G408" s="1976" t="s">
        <v>18</v>
      </c>
      <c r="H408" s="1976" t="s">
        <v>18</v>
      </c>
      <c r="I408" s="1976" t="s">
        <v>782</v>
      </c>
    </row>
    <row r="409" spans="1:9" ht="11.25" customHeight="1">
      <c r="A409" s="1976" t="s">
        <v>2149</v>
      </c>
      <c r="B409" s="1976" t="s">
        <v>14</v>
      </c>
      <c r="C409" s="1976" t="s">
        <v>2312</v>
      </c>
      <c r="D409" s="1976" t="s">
        <v>2313</v>
      </c>
      <c r="E409" s="1976" t="s">
        <v>2314</v>
      </c>
      <c r="F409" s="1976" t="s">
        <v>2186</v>
      </c>
      <c r="G409" s="1976" t="s">
        <v>18</v>
      </c>
      <c r="H409" s="1976" t="s">
        <v>18</v>
      </c>
      <c r="I409" s="1976" t="s">
        <v>1590</v>
      </c>
    </row>
    <row r="410" spans="1:9" ht="11.25" customHeight="1">
      <c r="A410" s="1976" t="s">
        <v>2149</v>
      </c>
      <c r="B410" s="1976" t="s">
        <v>14</v>
      </c>
      <c r="C410" s="1976" t="s">
        <v>2950</v>
      </c>
      <c r="D410" s="1976" t="s">
        <v>2951</v>
      </c>
      <c r="E410" s="1976" t="s">
        <v>2952</v>
      </c>
      <c r="F410" s="1976" t="s">
        <v>2583</v>
      </c>
      <c r="G410" s="1976" t="s">
        <v>18</v>
      </c>
      <c r="H410" s="1976" t="s">
        <v>18</v>
      </c>
      <c r="I410" s="1976" t="s">
        <v>1590</v>
      </c>
    </row>
    <row r="411" spans="1:9" ht="11.25" customHeight="1">
      <c r="A411" s="1976" t="s">
        <v>2149</v>
      </c>
      <c r="B411" s="1976" t="s">
        <v>14</v>
      </c>
      <c r="C411" s="1976" t="s">
        <v>2953</v>
      </c>
      <c r="D411" s="1976" t="s">
        <v>2954</v>
      </c>
      <c r="E411" s="1976" t="s">
        <v>2955</v>
      </c>
      <c r="F411" s="1976" t="s">
        <v>2264</v>
      </c>
      <c r="G411" s="1976" t="s">
        <v>18</v>
      </c>
      <c r="H411" s="1976" t="s">
        <v>18</v>
      </c>
      <c r="I411" s="1976" t="s">
        <v>1590</v>
      </c>
    </row>
    <row r="412" spans="1:9" ht="11.25" customHeight="1">
      <c r="A412" s="1976" t="s">
        <v>2149</v>
      </c>
      <c r="B412" s="1976" t="s">
        <v>14</v>
      </c>
      <c r="C412" s="1976" t="s">
        <v>2775</v>
      </c>
      <c r="D412" s="1976" t="s">
        <v>2776</v>
      </c>
      <c r="E412" s="1976" t="s">
        <v>2777</v>
      </c>
      <c r="F412" s="1976" t="s">
        <v>2430</v>
      </c>
      <c r="G412" s="1976" t="s">
        <v>18</v>
      </c>
      <c r="H412" s="1976" t="s">
        <v>18</v>
      </c>
      <c r="I412" s="1976" t="s">
        <v>1590</v>
      </c>
    </row>
    <row r="413" spans="1:9" ht="11.25" customHeight="1">
      <c r="A413" s="1976" t="s">
        <v>2149</v>
      </c>
      <c r="B413" s="1976" t="s">
        <v>14</v>
      </c>
      <c r="C413" s="1976" t="s">
        <v>2956</v>
      </c>
      <c r="D413" s="1976" t="s">
        <v>2957</v>
      </c>
      <c r="E413" s="1976" t="s">
        <v>2958</v>
      </c>
      <c r="F413" s="1976" t="s">
        <v>2349</v>
      </c>
      <c r="G413" s="1976" t="s">
        <v>18</v>
      </c>
      <c r="H413" s="1976" t="s">
        <v>18</v>
      </c>
      <c r="I413" s="1976" t="s">
        <v>1590</v>
      </c>
    </row>
    <row r="414" spans="1:9" ht="11.25" customHeight="1">
      <c r="A414" s="1976" t="s">
        <v>2149</v>
      </c>
      <c r="B414" s="1976" t="s">
        <v>14</v>
      </c>
      <c r="C414" s="1976" t="s">
        <v>2959</v>
      </c>
      <c r="D414" s="1976" t="s">
        <v>2960</v>
      </c>
      <c r="E414" s="1976" t="s">
        <v>2961</v>
      </c>
      <c r="F414" s="1976" t="s">
        <v>2186</v>
      </c>
      <c r="G414" s="1976" t="s">
        <v>18</v>
      </c>
      <c r="H414" s="1976" t="s">
        <v>18</v>
      </c>
      <c r="I414" s="1976" t="s">
        <v>1590</v>
      </c>
    </row>
    <row r="415" spans="1:9" ht="11.25" customHeight="1">
      <c r="A415" s="1976" t="s">
        <v>2149</v>
      </c>
      <c r="B415" s="1976" t="s">
        <v>14</v>
      </c>
      <c r="C415" s="1976" t="s">
        <v>2962</v>
      </c>
      <c r="D415" s="1976" t="s">
        <v>2963</v>
      </c>
      <c r="E415" s="1976" t="s">
        <v>2964</v>
      </c>
      <c r="F415" s="1976" t="s">
        <v>2160</v>
      </c>
      <c r="G415" s="1976" t="s">
        <v>2965</v>
      </c>
      <c r="H415" s="1976" t="s">
        <v>18</v>
      </c>
      <c r="I415" s="1976" t="s">
        <v>1590</v>
      </c>
    </row>
    <row r="416" spans="1:9" ht="11.25" customHeight="1">
      <c r="A416" s="1976" t="s">
        <v>2149</v>
      </c>
      <c r="B416" s="1976" t="s">
        <v>14</v>
      </c>
      <c r="C416" s="1976" t="s">
        <v>2966</v>
      </c>
      <c r="D416" s="1976" t="s">
        <v>2967</v>
      </c>
      <c r="E416" s="1976" t="s">
        <v>2968</v>
      </c>
      <c r="F416" s="1976" t="s">
        <v>2579</v>
      </c>
      <c r="G416" s="1976" t="s">
        <v>18</v>
      </c>
      <c r="H416" s="1976" t="s">
        <v>18</v>
      </c>
      <c r="I416" s="1976" t="s">
        <v>1590</v>
      </c>
    </row>
    <row r="417" spans="1:9" ht="11.25" customHeight="1">
      <c r="A417" s="1976" t="s">
        <v>2149</v>
      </c>
      <c r="B417" s="1976" t="s">
        <v>14</v>
      </c>
      <c r="C417" s="1976" t="s">
        <v>2944</v>
      </c>
      <c r="D417" s="1976" t="s">
        <v>2945</v>
      </c>
      <c r="E417" s="1976" t="s">
        <v>2946</v>
      </c>
      <c r="F417" s="1976" t="s">
        <v>2284</v>
      </c>
      <c r="G417" s="1976" t="s">
        <v>18</v>
      </c>
      <c r="H417" s="1976" t="s">
        <v>18</v>
      </c>
      <c r="I417" s="1976" t="s">
        <v>1590</v>
      </c>
    </row>
    <row r="418" spans="1:9" ht="11.25" customHeight="1">
      <c r="A418" s="1976" t="s">
        <v>2149</v>
      </c>
      <c r="B418" s="1976" t="s">
        <v>14</v>
      </c>
      <c r="C418" s="1976" t="s">
        <v>2969</v>
      </c>
      <c r="D418" s="1976" t="s">
        <v>2970</v>
      </c>
      <c r="E418" s="1976" t="s">
        <v>2971</v>
      </c>
      <c r="F418" s="1976" t="s">
        <v>2179</v>
      </c>
      <c r="G418" s="1976" t="s">
        <v>2972</v>
      </c>
      <c r="H418" s="1976" t="s">
        <v>18</v>
      </c>
      <c r="I418" s="1976" t="s">
        <v>1590</v>
      </c>
    </row>
    <row r="419" spans="1:9" ht="11.25" customHeight="1">
      <c r="A419" s="1976" t="s">
        <v>2149</v>
      </c>
      <c r="B419" s="1976" t="s">
        <v>14</v>
      </c>
      <c r="C419" s="1976" t="s">
        <v>2973</v>
      </c>
      <c r="D419" s="1976" t="s">
        <v>2974</v>
      </c>
      <c r="E419" s="1976" t="s">
        <v>2975</v>
      </c>
      <c r="F419" s="1976" t="s">
        <v>2186</v>
      </c>
      <c r="G419" s="1976" t="s">
        <v>18</v>
      </c>
      <c r="H419" s="1976" t="s">
        <v>18</v>
      </c>
      <c r="I419" s="1976" t="s">
        <v>1590</v>
      </c>
    </row>
    <row r="420" spans="1:9" ht="11.25" customHeight="1">
      <c r="A420" s="1976" t="s">
        <v>2149</v>
      </c>
      <c r="B420" s="1976" t="s">
        <v>14</v>
      </c>
      <c r="C420" s="1976" t="s">
        <v>2976</v>
      </c>
      <c r="D420" s="1976" t="s">
        <v>2977</v>
      </c>
      <c r="E420" s="1976" t="s">
        <v>2978</v>
      </c>
      <c r="F420" s="1976" t="s">
        <v>2186</v>
      </c>
      <c r="G420" s="1976" t="s">
        <v>18</v>
      </c>
      <c r="H420" s="1976" t="s">
        <v>18</v>
      </c>
      <c r="I420" s="1976" t="s">
        <v>1590</v>
      </c>
    </row>
    <row r="421" spans="1:9" ht="11.25" customHeight="1">
      <c r="A421" s="1976" t="s">
        <v>2149</v>
      </c>
      <c r="B421" s="1976" t="s">
        <v>14</v>
      </c>
      <c r="C421" s="1976" t="s">
        <v>2979</v>
      </c>
      <c r="D421" s="1976" t="s">
        <v>2980</v>
      </c>
      <c r="E421" s="1976" t="s">
        <v>2981</v>
      </c>
      <c r="F421" s="1976" t="s">
        <v>2260</v>
      </c>
      <c r="G421" s="1976" t="s">
        <v>18</v>
      </c>
      <c r="H421" s="1976" t="s">
        <v>18</v>
      </c>
      <c r="I421" s="1976" t="s">
        <v>1590</v>
      </c>
    </row>
    <row r="422" spans="1:9" ht="11.25" customHeight="1">
      <c r="A422" s="1976" t="s">
        <v>2149</v>
      </c>
      <c r="B422" s="1976" t="s">
        <v>14</v>
      </c>
      <c r="C422" s="1976" t="s">
        <v>2982</v>
      </c>
      <c r="D422" s="1976" t="s">
        <v>2983</v>
      </c>
      <c r="E422" s="1976" t="s">
        <v>2984</v>
      </c>
      <c r="F422" s="1976" t="s">
        <v>2294</v>
      </c>
      <c r="G422" s="1976" t="s">
        <v>18</v>
      </c>
      <c r="H422" s="1976" t="s">
        <v>18</v>
      </c>
      <c r="I422" s="1976" t="s">
        <v>1590</v>
      </c>
    </row>
    <row r="423" spans="1:9" ht="11.25" customHeight="1">
      <c r="A423" s="1976" t="s">
        <v>2149</v>
      </c>
      <c r="B423" s="1976" t="s">
        <v>14</v>
      </c>
      <c r="C423" s="1976" t="s">
        <v>2985</v>
      </c>
      <c r="D423" s="1976" t="s">
        <v>2986</v>
      </c>
      <c r="E423" s="1976" t="s">
        <v>2987</v>
      </c>
      <c r="F423" s="1976" t="s">
        <v>2186</v>
      </c>
      <c r="G423" s="1976" t="s">
        <v>18</v>
      </c>
      <c r="H423" s="1976" t="s">
        <v>18</v>
      </c>
      <c r="I423" s="1976" t="s">
        <v>1590</v>
      </c>
    </row>
    <row r="424" spans="1:9" ht="11.25" customHeight="1">
      <c r="A424" s="1976" t="s">
        <v>2149</v>
      </c>
      <c r="B424" s="1976" t="s">
        <v>14</v>
      </c>
      <c r="C424" s="1976" t="s">
        <v>2988</v>
      </c>
      <c r="D424" s="1976" t="s">
        <v>2989</v>
      </c>
      <c r="E424" s="1976" t="s">
        <v>2990</v>
      </c>
      <c r="F424" s="1976" t="s">
        <v>2991</v>
      </c>
      <c r="G424" s="1976" t="s">
        <v>18</v>
      </c>
      <c r="H424" s="1976" t="s">
        <v>18</v>
      </c>
      <c r="I424" s="1976" t="s">
        <v>1590</v>
      </c>
    </row>
    <row r="425" spans="1:9" ht="11.25" customHeight="1">
      <c r="A425" s="1976" t="s">
        <v>2149</v>
      </c>
      <c r="B425" s="1976" t="s">
        <v>14</v>
      </c>
      <c r="C425" s="1976" t="s">
        <v>2992</v>
      </c>
      <c r="D425" s="1976" t="s">
        <v>2993</v>
      </c>
      <c r="E425" s="1976" t="s">
        <v>2990</v>
      </c>
      <c r="F425" s="1976" t="s">
        <v>2994</v>
      </c>
      <c r="G425" s="1976" t="s">
        <v>18</v>
      </c>
      <c r="H425" s="1976" t="s">
        <v>18</v>
      </c>
      <c r="I425" s="1976" t="s">
        <v>1590</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326"/>
  <sheetViews>
    <sheetView showGridLines="0" workbookViewId="0"/>
  </sheetViews>
  <sheetFormatPr defaultRowHeight="11.25" customHeight="1"/>
  <cols>
    <col min="1" max="1" width="9.140625" style="1951"/>
  </cols>
  <sheetData>
    <row r="1" spans="1:7" ht="11.25" customHeight="1">
      <c r="A1" s="300" t="s">
        <v>2995</v>
      </c>
      <c r="B1" s="1" t="s">
        <v>2996</v>
      </c>
      <c r="C1" s="1" t="s">
        <v>2997</v>
      </c>
      <c r="D1" s="1" t="s">
        <v>2998</v>
      </c>
      <c r="E1" t="s">
        <v>2999</v>
      </c>
      <c r="F1" t="s">
        <v>3000</v>
      </c>
      <c r="G1" t="s">
        <v>3001</v>
      </c>
    </row>
    <row r="2" spans="1:7" ht="11.25" customHeight="1">
      <c r="A2" s="300" t="s">
        <v>14</v>
      </c>
      <c r="B2" t="s">
        <v>3002</v>
      </c>
      <c r="C2" t="s">
        <v>3003</v>
      </c>
      <c r="D2" t="s">
        <v>3004</v>
      </c>
      <c r="E2" t="s">
        <v>3005</v>
      </c>
      <c r="F2" t="s">
        <v>3006</v>
      </c>
      <c r="G2" t="s">
        <v>91</v>
      </c>
    </row>
    <row r="3" spans="1:7" ht="11.25" customHeight="1">
      <c r="A3" s="300" t="s">
        <v>14</v>
      </c>
      <c r="B3" t="s">
        <v>3002</v>
      </c>
      <c r="C3" t="s">
        <v>3003</v>
      </c>
      <c r="D3" t="s">
        <v>3002</v>
      </c>
      <c r="E3" t="s">
        <v>3003</v>
      </c>
      <c r="F3" t="s">
        <v>3007</v>
      </c>
      <c r="G3" t="s">
        <v>92</v>
      </c>
    </row>
    <row r="4" spans="1:7" ht="11.25" customHeight="1">
      <c r="A4" s="300" t="s">
        <v>14</v>
      </c>
      <c r="B4" t="s">
        <v>3002</v>
      </c>
      <c r="C4" t="s">
        <v>3003</v>
      </c>
      <c r="D4" t="s">
        <v>3008</v>
      </c>
      <c r="E4" t="s">
        <v>3009</v>
      </c>
      <c r="F4" t="s">
        <v>3006</v>
      </c>
      <c r="G4" t="s">
        <v>75</v>
      </c>
    </row>
    <row r="5" spans="1:7" ht="11.25" customHeight="1">
      <c r="A5" s="300" t="s">
        <v>14</v>
      </c>
      <c r="B5" t="s">
        <v>3002</v>
      </c>
      <c r="C5" t="s">
        <v>3003</v>
      </c>
      <c r="D5" t="s">
        <v>3010</v>
      </c>
      <c r="E5" t="s">
        <v>3011</v>
      </c>
      <c r="F5" t="s">
        <v>3006</v>
      </c>
      <c r="G5" t="s">
        <v>76</v>
      </c>
    </row>
    <row r="6" spans="1:7" ht="11.25" customHeight="1">
      <c r="A6" s="300" t="s">
        <v>14</v>
      </c>
      <c r="B6" t="s">
        <v>3002</v>
      </c>
      <c r="C6" t="s">
        <v>3003</v>
      </c>
      <c r="D6" t="s">
        <v>3012</v>
      </c>
      <c r="E6" t="s">
        <v>3013</v>
      </c>
      <c r="F6" t="s">
        <v>3006</v>
      </c>
      <c r="G6" t="s">
        <v>93</v>
      </c>
    </row>
    <row r="7" spans="1:7" ht="11.25" customHeight="1">
      <c r="A7" s="300" t="s">
        <v>14</v>
      </c>
      <c r="B7" t="s">
        <v>3002</v>
      </c>
      <c r="C7" t="s">
        <v>3003</v>
      </c>
      <c r="D7" t="s">
        <v>3014</v>
      </c>
      <c r="E7" t="s">
        <v>3015</v>
      </c>
      <c r="F7" t="s">
        <v>3006</v>
      </c>
      <c r="G7" t="s">
        <v>77</v>
      </c>
    </row>
    <row r="8" spans="1:7" ht="11.25" customHeight="1">
      <c r="A8" s="300" t="s">
        <v>14</v>
      </c>
      <c r="B8" t="s">
        <v>3002</v>
      </c>
      <c r="C8" t="s">
        <v>3003</v>
      </c>
      <c r="D8" t="s">
        <v>3016</v>
      </c>
      <c r="E8" t="s">
        <v>3017</v>
      </c>
      <c r="F8" t="s">
        <v>3006</v>
      </c>
      <c r="G8" t="s">
        <v>78</v>
      </c>
    </row>
    <row r="9" spans="1:7" ht="11.25" customHeight="1">
      <c r="A9" s="300" t="s">
        <v>14</v>
      </c>
      <c r="B9" t="s">
        <v>3002</v>
      </c>
      <c r="C9" t="s">
        <v>3003</v>
      </c>
      <c r="D9" t="s">
        <v>3018</v>
      </c>
      <c r="E9" t="s">
        <v>3019</v>
      </c>
      <c r="F9" t="s">
        <v>3006</v>
      </c>
      <c r="G9" t="s">
        <v>94</v>
      </c>
    </row>
    <row r="10" spans="1:7" ht="11.25" customHeight="1">
      <c r="A10" s="300" t="s">
        <v>14</v>
      </c>
      <c r="B10" t="s">
        <v>3002</v>
      </c>
      <c r="C10" t="s">
        <v>3003</v>
      </c>
      <c r="D10" t="s">
        <v>3020</v>
      </c>
      <c r="E10" t="s">
        <v>3021</v>
      </c>
      <c r="F10" t="s">
        <v>3022</v>
      </c>
      <c r="G10" t="s">
        <v>130</v>
      </c>
    </row>
    <row r="11" spans="1:7" ht="11.25" customHeight="1">
      <c r="A11" s="300" t="s">
        <v>14</v>
      </c>
      <c r="B11" t="s">
        <v>3002</v>
      </c>
      <c r="C11" t="s">
        <v>3003</v>
      </c>
      <c r="D11" t="s">
        <v>3023</v>
      </c>
      <c r="E11" t="s">
        <v>3024</v>
      </c>
      <c r="F11" t="s">
        <v>3006</v>
      </c>
      <c r="G11" t="s">
        <v>131</v>
      </c>
    </row>
    <row r="12" spans="1:7" ht="11.25" customHeight="1">
      <c r="A12" s="300" t="s">
        <v>14</v>
      </c>
      <c r="B12" t="s">
        <v>3002</v>
      </c>
      <c r="C12" t="s">
        <v>3003</v>
      </c>
      <c r="D12" t="s">
        <v>3025</v>
      </c>
      <c r="E12" t="s">
        <v>3026</v>
      </c>
      <c r="F12" t="s">
        <v>3006</v>
      </c>
      <c r="G12" t="s">
        <v>132</v>
      </c>
    </row>
    <row r="13" spans="1:7" ht="11.25" customHeight="1">
      <c r="A13" s="300" t="s">
        <v>14</v>
      </c>
      <c r="B13" t="s">
        <v>3002</v>
      </c>
      <c r="C13" t="s">
        <v>3003</v>
      </c>
      <c r="D13" t="s">
        <v>3027</v>
      </c>
      <c r="E13" t="s">
        <v>3028</v>
      </c>
      <c r="F13" t="s">
        <v>3006</v>
      </c>
      <c r="G13" t="s">
        <v>133</v>
      </c>
    </row>
    <row r="14" spans="1:7" ht="11.25" customHeight="1">
      <c r="A14" s="300" t="s">
        <v>14</v>
      </c>
      <c r="B14" t="s">
        <v>3002</v>
      </c>
      <c r="C14" t="s">
        <v>3003</v>
      </c>
      <c r="D14" t="s">
        <v>3029</v>
      </c>
      <c r="E14" t="s">
        <v>3030</v>
      </c>
      <c r="F14" t="s">
        <v>3006</v>
      </c>
      <c r="G14" t="s">
        <v>134</v>
      </c>
    </row>
    <row r="15" spans="1:7" ht="11.25" customHeight="1">
      <c r="A15" s="300" t="s">
        <v>14</v>
      </c>
      <c r="B15" t="s">
        <v>3002</v>
      </c>
      <c r="C15" t="s">
        <v>3003</v>
      </c>
      <c r="D15" t="s">
        <v>3031</v>
      </c>
      <c r="E15" t="s">
        <v>3032</v>
      </c>
      <c r="F15" t="s">
        <v>3006</v>
      </c>
      <c r="G15" t="s">
        <v>135</v>
      </c>
    </row>
    <row r="16" spans="1:7" ht="11.25" customHeight="1">
      <c r="A16" s="300" t="s">
        <v>14</v>
      </c>
      <c r="B16" t="s">
        <v>3002</v>
      </c>
      <c r="C16" t="s">
        <v>3003</v>
      </c>
      <c r="D16" t="s">
        <v>3033</v>
      </c>
      <c r="E16" t="s">
        <v>3034</v>
      </c>
      <c r="F16" t="s">
        <v>3006</v>
      </c>
      <c r="G16" t="s">
        <v>1434</v>
      </c>
    </row>
    <row r="17" spans="1:7" ht="11.25" customHeight="1">
      <c r="A17" s="300" t="s">
        <v>14</v>
      </c>
      <c r="B17" t="s">
        <v>3035</v>
      </c>
      <c r="C17" t="s">
        <v>3036</v>
      </c>
      <c r="D17" t="s">
        <v>3035</v>
      </c>
      <c r="E17" t="s">
        <v>3036</v>
      </c>
      <c r="F17" t="s">
        <v>3007</v>
      </c>
      <c r="G17" t="s">
        <v>1440</v>
      </c>
    </row>
    <row r="18" spans="1:7" ht="11.25" customHeight="1">
      <c r="A18" s="300" t="s">
        <v>14</v>
      </c>
      <c r="B18" t="s">
        <v>3035</v>
      </c>
      <c r="C18" t="s">
        <v>3036</v>
      </c>
      <c r="D18" t="s">
        <v>3037</v>
      </c>
      <c r="E18" t="s">
        <v>3038</v>
      </c>
      <c r="F18" t="s">
        <v>3006</v>
      </c>
      <c r="G18" t="s">
        <v>1451</v>
      </c>
    </row>
    <row r="19" spans="1:7" ht="11.25" customHeight="1">
      <c r="A19" s="300" t="s">
        <v>14</v>
      </c>
      <c r="B19" t="s">
        <v>3035</v>
      </c>
      <c r="C19" t="s">
        <v>3036</v>
      </c>
      <c r="D19" t="s">
        <v>3039</v>
      </c>
      <c r="E19" t="s">
        <v>3040</v>
      </c>
      <c r="F19" t="s">
        <v>3006</v>
      </c>
      <c r="G19" t="s">
        <v>1465</v>
      </c>
    </row>
    <row r="20" spans="1:7" ht="11.25" customHeight="1">
      <c r="A20" s="300" t="s">
        <v>14</v>
      </c>
      <c r="B20" t="s">
        <v>3035</v>
      </c>
      <c r="C20" t="s">
        <v>3036</v>
      </c>
      <c r="D20" t="s">
        <v>3041</v>
      </c>
      <c r="E20" t="s">
        <v>3042</v>
      </c>
      <c r="F20" t="s">
        <v>3006</v>
      </c>
      <c r="G20" t="s">
        <v>1477</v>
      </c>
    </row>
    <row r="21" spans="1:7" ht="11.25" customHeight="1">
      <c r="A21" s="300" t="s">
        <v>14</v>
      </c>
      <c r="B21" t="s">
        <v>3035</v>
      </c>
      <c r="C21" t="s">
        <v>3036</v>
      </c>
      <c r="D21" t="s">
        <v>3043</v>
      </c>
      <c r="E21" t="s">
        <v>3044</v>
      </c>
      <c r="F21" t="s">
        <v>3006</v>
      </c>
      <c r="G21" t="s">
        <v>1486</v>
      </c>
    </row>
    <row r="22" spans="1:7" ht="11.25" customHeight="1">
      <c r="A22" s="300" t="s">
        <v>14</v>
      </c>
      <c r="B22" t="s">
        <v>3035</v>
      </c>
      <c r="C22" t="s">
        <v>3036</v>
      </c>
      <c r="D22" t="s">
        <v>3045</v>
      </c>
      <c r="E22" t="s">
        <v>3046</v>
      </c>
      <c r="F22" t="s">
        <v>3006</v>
      </c>
      <c r="G22" t="s">
        <v>1502</v>
      </c>
    </row>
    <row r="23" spans="1:7" ht="11.25" customHeight="1">
      <c r="A23" s="300" t="s">
        <v>14</v>
      </c>
      <c r="B23" t="s">
        <v>3035</v>
      </c>
      <c r="C23" t="s">
        <v>3036</v>
      </c>
      <c r="D23" t="s">
        <v>3047</v>
      </c>
      <c r="E23" t="s">
        <v>3048</v>
      </c>
      <c r="F23" t="s">
        <v>3022</v>
      </c>
      <c r="G23" t="s">
        <v>1509</v>
      </c>
    </row>
    <row r="24" spans="1:7" ht="11.25" customHeight="1">
      <c r="A24" s="300" t="s">
        <v>14</v>
      </c>
      <c r="B24" t="s">
        <v>3035</v>
      </c>
      <c r="C24" t="s">
        <v>3036</v>
      </c>
      <c r="D24" t="s">
        <v>3049</v>
      </c>
      <c r="E24" t="s">
        <v>3050</v>
      </c>
      <c r="F24" t="s">
        <v>3006</v>
      </c>
      <c r="G24" t="s">
        <v>1517</v>
      </c>
    </row>
    <row r="25" spans="1:7" ht="11.25" customHeight="1">
      <c r="A25" s="300" t="s">
        <v>14</v>
      </c>
      <c r="B25" t="s">
        <v>3035</v>
      </c>
      <c r="C25" t="s">
        <v>3036</v>
      </c>
      <c r="D25" t="s">
        <v>3029</v>
      </c>
      <c r="E25" t="s">
        <v>3051</v>
      </c>
      <c r="F25" t="s">
        <v>3006</v>
      </c>
      <c r="G25" t="s">
        <v>1524</v>
      </c>
    </row>
    <row r="26" spans="1:7" ht="11.25" customHeight="1">
      <c r="A26" s="300" t="s">
        <v>14</v>
      </c>
      <c r="B26" t="s">
        <v>3035</v>
      </c>
      <c r="C26" t="s">
        <v>3036</v>
      </c>
      <c r="D26" t="s">
        <v>3052</v>
      </c>
      <c r="E26" t="s">
        <v>3053</v>
      </c>
      <c r="F26" t="s">
        <v>3006</v>
      </c>
      <c r="G26" t="s">
        <v>1528</v>
      </c>
    </row>
    <row r="27" spans="1:7" ht="11.25" customHeight="1">
      <c r="A27" s="300" t="s">
        <v>14</v>
      </c>
      <c r="B27" t="s">
        <v>3054</v>
      </c>
      <c r="C27" t="s">
        <v>3055</v>
      </c>
      <c r="D27" t="s">
        <v>3056</v>
      </c>
      <c r="E27" t="s">
        <v>3057</v>
      </c>
      <c r="F27" t="s">
        <v>3006</v>
      </c>
      <c r="G27" t="s">
        <v>1533</v>
      </c>
    </row>
    <row r="28" spans="1:7" ht="11.25" customHeight="1">
      <c r="A28" s="300" t="s">
        <v>14</v>
      </c>
      <c r="B28" t="s">
        <v>3054</v>
      </c>
      <c r="C28" t="s">
        <v>3055</v>
      </c>
      <c r="D28" t="s">
        <v>3054</v>
      </c>
      <c r="E28" t="s">
        <v>3055</v>
      </c>
      <c r="F28" t="s">
        <v>3007</v>
      </c>
      <c r="G28" t="s">
        <v>1541</v>
      </c>
    </row>
    <row r="29" spans="1:7" ht="11.25" customHeight="1">
      <c r="A29" s="300" t="s">
        <v>14</v>
      </c>
      <c r="B29" t="s">
        <v>3054</v>
      </c>
      <c r="C29" t="s">
        <v>3055</v>
      </c>
      <c r="D29" t="s">
        <v>3058</v>
      </c>
      <c r="E29" t="s">
        <v>3059</v>
      </c>
      <c r="F29" t="s">
        <v>3006</v>
      </c>
      <c r="G29" t="s">
        <v>1543</v>
      </c>
    </row>
    <row r="30" spans="1:7" ht="11.25" customHeight="1">
      <c r="A30" s="300" t="s">
        <v>14</v>
      </c>
      <c r="B30" t="s">
        <v>3054</v>
      </c>
      <c r="C30" t="s">
        <v>3055</v>
      </c>
      <c r="D30" t="s">
        <v>3060</v>
      </c>
      <c r="E30" t="s">
        <v>3061</v>
      </c>
      <c r="F30" t="s">
        <v>3062</v>
      </c>
      <c r="G30" t="s">
        <v>1546</v>
      </c>
    </row>
    <row r="31" spans="1:7" ht="11.25" customHeight="1">
      <c r="A31" s="300" t="s">
        <v>14</v>
      </c>
      <c r="B31" t="s">
        <v>3054</v>
      </c>
      <c r="C31" t="s">
        <v>3055</v>
      </c>
      <c r="D31" t="s">
        <v>3063</v>
      </c>
      <c r="E31" t="s">
        <v>3064</v>
      </c>
      <c r="F31" t="s">
        <v>3006</v>
      </c>
      <c r="G31" t="s">
        <v>1552</v>
      </c>
    </row>
    <row r="32" spans="1:7" ht="11.25" customHeight="1">
      <c r="A32" s="300" t="s">
        <v>14</v>
      </c>
      <c r="B32" t="s">
        <v>3054</v>
      </c>
      <c r="C32" t="s">
        <v>3055</v>
      </c>
      <c r="D32" t="s">
        <v>3065</v>
      </c>
      <c r="E32" t="s">
        <v>3066</v>
      </c>
      <c r="F32" t="s">
        <v>3006</v>
      </c>
      <c r="G32" t="s">
        <v>1554</v>
      </c>
    </row>
    <row r="33" spans="1:7" ht="11.25" customHeight="1">
      <c r="A33" s="300" t="s">
        <v>14</v>
      </c>
      <c r="B33" t="s">
        <v>3054</v>
      </c>
      <c r="C33" t="s">
        <v>3055</v>
      </c>
      <c r="D33" t="s">
        <v>3067</v>
      </c>
      <c r="E33" t="s">
        <v>3068</v>
      </c>
      <c r="F33" t="s">
        <v>3006</v>
      </c>
      <c r="G33" t="s">
        <v>1556</v>
      </c>
    </row>
    <row r="34" spans="1:7" ht="11.25" customHeight="1">
      <c r="A34" s="300" t="s">
        <v>14</v>
      </c>
      <c r="B34" t="s">
        <v>3054</v>
      </c>
      <c r="C34" t="s">
        <v>3055</v>
      </c>
      <c r="D34" t="s">
        <v>3069</v>
      </c>
      <c r="E34" t="s">
        <v>3070</v>
      </c>
      <c r="F34" t="s">
        <v>3006</v>
      </c>
      <c r="G34" t="s">
        <v>1558</v>
      </c>
    </row>
    <row r="35" spans="1:7" ht="11.25" customHeight="1">
      <c r="A35" s="300" t="s">
        <v>14</v>
      </c>
      <c r="B35" t="s">
        <v>3054</v>
      </c>
      <c r="C35" t="s">
        <v>3055</v>
      </c>
      <c r="D35" t="s">
        <v>3071</v>
      </c>
      <c r="E35" t="s">
        <v>3072</v>
      </c>
      <c r="F35" t="s">
        <v>3006</v>
      </c>
      <c r="G35" t="s">
        <v>1563</v>
      </c>
    </row>
    <row r="36" spans="1:7" ht="11.25" customHeight="1">
      <c r="A36" s="300" t="s">
        <v>14</v>
      </c>
      <c r="B36" t="s">
        <v>3054</v>
      </c>
      <c r="C36" t="s">
        <v>3055</v>
      </c>
      <c r="D36" t="s">
        <v>3073</v>
      </c>
      <c r="E36" t="s">
        <v>3074</v>
      </c>
      <c r="F36" t="s">
        <v>3006</v>
      </c>
      <c r="G36" t="s">
        <v>1568</v>
      </c>
    </row>
    <row r="37" spans="1:7" ht="11.25" customHeight="1">
      <c r="A37" s="300" t="s">
        <v>14</v>
      </c>
      <c r="B37" t="s">
        <v>3054</v>
      </c>
      <c r="C37" t="s">
        <v>3055</v>
      </c>
      <c r="D37" t="s">
        <v>3075</v>
      </c>
      <c r="E37" t="s">
        <v>3076</v>
      </c>
      <c r="F37" t="s">
        <v>3006</v>
      </c>
      <c r="G37" t="s">
        <v>1572</v>
      </c>
    </row>
    <row r="38" spans="1:7" ht="11.25" customHeight="1">
      <c r="A38" s="300" t="s">
        <v>14</v>
      </c>
      <c r="B38" t="s">
        <v>3054</v>
      </c>
      <c r="C38" t="s">
        <v>3055</v>
      </c>
      <c r="D38" t="s">
        <v>3077</v>
      </c>
      <c r="E38" t="s">
        <v>3078</v>
      </c>
      <c r="F38" t="s">
        <v>3006</v>
      </c>
      <c r="G38" t="s">
        <v>1580</v>
      </c>
    </row>
    <row r="39" spans="1:7" ht="11.25" customHeight="1">
      <c r="A39" s="300" t="s">
        <v>14</v>
      </c>
      <c r="B39" t="s">
        <v>3079</v>
      </c>
      <c r="C39" t="s">
        <v>3080</v>
      </c>
      <c r="D39" t="s">
        <v>3081</v>
      </c>
      <c r="E39" t="s">
        <v>3082</v>
      </c>
      <c r="F39" t="s">
        <v>3006</v>
      </c>
      <c r="G39" t="s">
        <v>1586</v>
      </c>
    </row>
    <row r="40" spans="1:7" ht="11.25" customHeight="1">
      <c r="A40" s="300" t="s">
        <v>14</v>
      </c>
      <c r="B40" t="s">
        <v>3079</v>
      </c>
      <c r="C40" t="s">
        <v>3080</v>
      </c>
      <c r="D40" t="s">
        <v>3079</v>
      </c>
      <c r="E40" t="s">
        <v>3080</v>
      </c>
      <c r="F40" t="s">
        <v>3007</v>
      </c>
      <c r="G40" t="s">
        <v>1591</v>
      </c>
    </row>
    <row r="41" spans="1:7" ht="11.25" customHeight="1">
      <c r="A41" s="300" t="s">
        <v>14</v>
      </c>
      <c r="B41" t="s">
        <v>3079</v>
      </c>
      <c r="C41" t="s">
        <v>3080</v>
      </c>
      <c r="D41" t="s">
        <v>3083</v>
      </c>
      <c r="E41" t="s">
        <v>3084</v>
      </c>
      <c r="F41" t="s">
        <v>3006</v>
      </c>
      <c r="G41" t="s">
        <v>1595</v>
      </c>
    </row>
    <row r="42" spans="1:7" ht="11.25" customHeight="1">
      <c r="A42" s="300" t="s">
        <v>14</v>
      </c>
      <c r="B42" t="s">
        <v>3079</v>
      </c>
      <c r="C42" t="s">
        <v>3080</v>
      </c>
      <c r="D42" t="s">
        <v>3085</v>
      </c>
      <c r="E42" t="s">
        <v>3086</v>
      </c>
      <c r="F42" t="s">
        <v>3006</v>
      </c>
      <c r="G42" t="s">
        <v>1598</v>
      </c>
    </row>
    <row r="43" spans="1:7" ht="11.25" customHeight="1">
      <c r="A43" s="300" t="s">
        <v>14</v>
      </c>
      <c r="B43" t="s">
        <v>3079</v>
      </c>
      <c r="C43" t="s">
        <v>3080</v>
      </c>
      <c r="D43" t="s">
        <v>3087</v>
      </c>
      <c r="E43" t="s">
        <v>3088</v>
      </c>
      <c r="F43" t="s">
        <v>3006</v>
      </c>
      <c r="G43" t="s">
        <v>1605</v>
      </c>
    </row>
    <row r="44" spans="1:7" ht="11.25" customHeight="1">
      <c r="A44" s="300" t="s">
        <v>14</v>
      </c>
      <c r="B44" t="s">
        <v>3079</v>
      </c>
      <c r="C44" t="s">
        <v>3080</v>
      </c>
      <c r="D44" t="s">
        <v>3089</v>
      </c>
      <c r="E44" t="s">
        <v>3090</v>
      </c>
      <c r="F44" t="s">
        <v>3006</v>
      </c>
      <c r="G44" t="s">
        <v>1614</v>
      </c>
    </row>
    <row r="45" spans="1:7" ht="11.25" customHeight="1">
      <c r="A45" s="300" t="s">
        <v>14</v>
      </c>
      <c r="B45" t="s">
        <v>3079</v>
      </c>
      <c r="C45" t="s">
        <v>3080</v>
      </c>
      <c r="D45" t="s">
        <v>3091</v>
      </c>
      <c r="E45" t="s">
        <v>3092</v>
      </c>
      <c r="F45" t="s">
        <v>3006</v>
      </c>
      <c r="G45" t="s">
        <v>1619</v>
      </c>
    </row>
    <row r="46" spans="1:7" ht="11.25" customHeight="1">
      <c r="A46" s="300" t="s">
        <v>14</v>
      </c>
      <c r="B46" t="s">
        <v>3079</v>
      </c>
      <c r="C46" t="s">
        <v>3080</v>
      </c>
      <c r="D46" t="s">
        <v>3093</v>
      </c>
      <c r="E46" t="s">
        <v>3094</v>
      </c>
      <c r="F46" t="s">
        <v>3006</v>
      </c>
      <c r="G46" t="s">
        <v>1621</v>
      </c>
    </row>
    <row r="47" spans="1:7" ht="11.25" customHeight="1">
      <c r="A47" s="300" t="s">
        <v>14</v>
      </c>
      <c r="B47" t="s">
        <v>3079</v>
      </c>
      <c r="C47" t="s">
        <v>3080</v>
      </c>
      <c r="D47" t="s">
        <v>3029</v>
      </c>
      <c r="E47" t="s">
        <v>3095</v>
      </c>
      <c r="F47" t="s">
        <v>3006</v>
      </c>
      <c r="G47" t="s">
        <v>1627</v>
      </c>
    </row>
    <row r="48" spans="1:7" ht="11.25" customHeight="1">
      <c r="A48" s="300" t="s">
        <v>14</v>
      </c>
      <c r="B48" t="s">
        <v>3079</v>
      </c>
      <c r="C48" t="s">
        <v>3080</v>
      </c>
      <c r="D48" t="s">
        <v>3096</v>
      </c>
      <c r="E48" t="s">
        <v>3097</v>
      </c>
      <c r="F48" t="s">
        <v>3006</v>
      </c>
      <c r="G48" t="s">
        <v>1632</v>
      </c>
    </row>
    <row r="49" spans="1:7" ht="11.25" customHeight="1">
      <c r="A49" s="300" t="s">
        <v>14</v>
      </c>
      <c r="B49" t="s">
        <v>3079</v>
      </c>
      <c r="C49" t="s">
        <v>3080</v>
      </c>
      <c r="D49" t="s">
        <v>3098</v>
      </c>
      <c r="E49" t="s">
        <v>3099</v>
      </c>
      <c r="F49" t="s">
        <v>3006</v>
      </c>
      <c r="G49" t="s">
        <v>1635</v>
      </c>
    </row>
    <row r="50" spans="1:7" ht="11.25" customHeight="1">
      <c r="A50" s="300" t="s">
        <v>14</v>
      </c>
      <c r="B50" t="s">
        <v>3100</v>
      </c>
      <c r="C50" t="s">
        <v>3101</v>
      </c>
      <c r="D50" t="s">
        <v>3102</v>
      </c>
      <c r="E50" t="s">
        <v>3103</v>
      </c>
      <c r="F50" t="s">
        <v>3006</v>
      </c>
      <c r="G50" t="s">
        <v>1639</v>
      </c>
    </row>
    <row r="51" spans="1:7" ht="11.25" customHeight="1">
      <c r="A51" s="300" t="s">
        <v>14</v>
      </c>
      <c r="B51" t="s">
        <v>3100</v>
      </c>
      <c r="C51" t="s">
        <v>3101</v>
      </c>
      <c r="D51" t="s">
        <v>3100</v>
      </c>
      <c r="E51" t="s">
        <v>3101</v>
      </c>
      <c r="F51" t="s">
        <v>3007</v>
      </c>
      <c r="G51" t="s">
        <v>1644</v>
      </c>
    </row>
    <row r="52" spans="1:7" ht="11.25" customHeight="1">
      <c r="A52" s="300" t="s">
        <v>14</v>
      </c>
      <c r="B52" t="s">
        <v>3100</v>
      </c>
      <c r="C52" t="s">
        <v>3101</v>
      </c>
      <c r="D52" t="s">
        <v>3104</v>
      </c>
      <c r="E52" t="s">
        <v>3105</v>
      </c>
      <c r="F52" t="s">
        <v>3006</v>
      </c>
      <c r="G52" t="s">
        <v>1648</v>
      </c>
    </row>
    <row r="53" spans="1:7" ht="11.25" customHeight="1">
      <c r="A53" s="300" t="s">
        <v>14</v>
      </c>
      <c r="B53" t="s">
        <v>3100</v>
      </c>
      <c r="C53" t="s">
        <v>3101</v>
      </c>
      <c r="D53" t="s">
        <v>3106</v>
      </c>
      <c r="E53" t="s">
        <v>3107</v>
      </c>
      <c r="F53" t="s">
        <v>3006</v>
      </c>
      <c r="G53" t="s">
        <v>1650</v>
      </c>
    </row>
    <row r="54" spans="1:7" ht="11.25" customHeight="1">
      <c r="A54" s="300" t="s">
        <v>14</v>
      </c>
      <c r="B54" t="s">
        <v>3100</v>
      </c>
      <c r="C54" t="s">
        <v>3101</v>
      </c>
      <c r="D54" t="s">
        <v>3108</v>
      </c>
      <c r="E54" t="s">
        <v>3109</v>
      </c>
      <c r="F54" t="s">
        <v>3006</v>
      </c>
      <c r="G54" t="s">
        <v>1653</v>
      </c>
    </row>
    <row r="55" spans="1:7" ht="11.25" customHeight="1">
      <c r="A55" s="300" t="s">
        <v>14</v>
      </c>
      <c r="B55" t="s">
        <v>3100</v>
      </c>
      <c r="C55" t="s">
        <v>3101</v>
      </c>
      <c r="D55" t="s">
        <v>3110</v>
      </c>
      <c r="E55" t="s">
        <v>3111</v>
      </c>
      <c r="F55" t="s">
        <v>3006</v>
      </c>
      <c r="G55" t="s">
        <v>1657</v>
      </c>
    </row>
    <row r="56" spans="1:7" ht="11.25" customHeight="1">
      <c r="A56" s="300" t="s">
        <v>14</v>
      </c>
      <c r="B56" t="s">
        <v>3100</v>
      </c>
      <c r="C56" t="s">
        <v>3101</v>
      </c>
      <c r="D56" t="s">
        <v>3112</v>
      </c>
      <c r="E56" t="s">
        <v>3113</v>
      </c>
      <c r="F56" t="s">
        <v>3006</v>
      </c>
      <c r="G56" t="s">
        <v>1660</v>
      </c>
    </row>
    <row r="57" spans="1:7" ht="11.25" customHeight="1">
      <c r="A57" s="300" t="s">
        <v>14</v>
      </c>
      <c r="B57" t="s">
        <v>3100</v>
      </c>
      <c r="C57" t="s">
        <v>3101</v>
      </c>
      <c r="D57" t="s">
        <v>3114</v>
      </c>
      <c r="E57" t="s">
        <v>3115</v>
      </c>
      <c r="F57" t="s">
        <v>3006</v>
      </c>
      <c r="G57" t="s">
        <v>1663</v>
      </c>
    </row>
    <row r="58" spans="1:7" ht="11.25" customHeight="1">
      <c r="A58" s="300" t="s">
        <v>14</v>
      </c>
      <c r="B58" t="s">
        <v>3116</v>
      </c>
      <c r="C58" t="s">
        <v>3117</v>
      </c>
      <c r="D58" t="s">
        <v>3118</v>
      </c>
      <c r="E58" t="s">
        <v>3119</v>
      </c>
      <c r="F58" t="s">
        <v>3006</v>
      </c>
      <c r="G58" t="s">
        <v>1666</v>
      </c>
    </row>
    <row r="59" spans="1:7" ht="11.25" customHeight="1">
      <c r="A59" s="300" t="s">
        <v>14</v>
      </c>
      <c r="B59" t="s">
        <v>3116</v>
      </c>
      <c r="C59" t="s">
        <v>3117</v>
      </c>
      <c r="D59" t="s">
        <v>3120</v>
      </c>
      <c r="E59" t="s">
        <v>3121</v>
      </c>
      <c r="F59" t="s">
        <v>3006</v>
      </c>
      <c r="G59" t="s">
        <v>1670</v>
      </c>
    </row>
    <row r="60" spans="1:7" ht="11.25" customHeight="1">
      <c r="A60" s="300" t="s">
        <v>14</v>
      </c>
      <c r="B60" t="s">
        <v>3116</v>
      </c>
      <c r="C60" t="s">
        <v>3117</v>
      </c>
      <c r="D60" t="s">
        <v>3122</v>
      </c>
      <c r="E60" t="s">
        <v>3123</v>
      </c>
      <c r="F60" t="s">
        <v>3006</v>
      </c>
      <c r="G60" t="s">
        <v>1673</v>
      </c>
    </row>
    <row r="61" spans="1:7" ht="11.25" customHeight="1">
      <c r="A61" s="300" t="s">
        <v>14</v>
      </c>
      <c r="B61" t="s">
        <v>3116</v>
      </c>
      <c r="C61" t="s">
        <v>3117</v>
      </c>
      <c r="D61" t="s">
        <v>3124</v>
      </c>
      <c r="E61" t="s">
        <v>3125</v>
      </c>
      <c r="F61" t="s">
        <v>3062</v>
      </c>
      <c r="G61" t="s">
        <v>3126</v>
      </c>
    </row>
    <row r="62" spans="1:7" ht="11.25" customHeight="1">
      <c r="A62" s="300" t="s">
        <v>14</v>
      </c>
      <c r="B62" t="s">
        <v>3116</v>
      </c>
      <c r="C62" t="s">
        <v>3117</v>
      </c>
      <c r="D62" t="s">
        <v>3127</v>
      </c>
      <c r="E62" t="s">
        <v>3128</v>
      </c>
      <c r="F62" t="s">
        <v>3062</v>
      </c>
      <c r="G62" t="s">
        <v>3129</v>
      </c>
    </row>
    <row r="63" spans="1:7" ht="11.25" customHeight="1">
      <c r="A63" s="300" t="s">
        <v>14</v>
      </c>
      <c r="B63" t="s">
        <v>3116</v>
      </c>
      <c r="C63" t="s">
        <v>3117</v>
      </c>
      <c r="D63" t="s">
        <v>3116</v>
      </c>
      <c r="E63" t="s">
        <v>3117</v>
      </c>
      <c r="F63" t="s">
        <v>3007</v>
      </c>
      <c r="G63" t="s">
        <v>3130</v>
      </c>
    </row>
    <row r="64" spans="1:7" ht="11.25" customHeight="1">
      <c r="A64" s="300" t="s">
        <v>14</v>
      </c>
      <c r="B64" t="s">
        <v>3116</v>
      </c>
      <c r="C64" t="s">
        <v>3117</v>
      </c>
      <c r="D64" t="s">
        <v>3131</v>
      </c>
      <c r="E64" t="s">
        <v>3132</v>
      </c>
      <c r="F64" t="s">
        <v>3006</v>
      </c>
      <c r="G64" t="s">
        <v>3133</v>
      </c>
    </row>
    <row r="65" spans="1:7" ht="11.25" customHeight="1">
      <c r="A65" s="300" t="s">
        <v>14</v>
      </c>
      <c r="B65" t="s">
        <v>3116</v>
      </c>
      <c r="C65" t="s">
        <v>3117</v>
      </c>
      <c r="D65" t="s">
        <v>3134</v>
      </c>
      <c r="E65" t="s">
        <v>3135</v>
      </c>
      <c r="F65" t="s">
        <v>3006</v>
      </c>
      <c r="G65" t="s">
        <v>3136</v>
      </c>
    </row>
    <row r="66" spans="1:7" ht="11.25" customHeight="1">
      <c r="A66" s="300" t="s">
        <v>14</v>
      </c>
      <c r="B66" t="s">
        <v>3116</v>
      </c>
      <c r="C66" t="s">
        <v>3117</v>
      </c>
      <c r="D66" t="s">
        <v>3137</v>
      </c>
      <c r="E66" t="s">
        <v>3138</v>
      </c>
      <c r="F66" t="s">
        <v>3006</v>
      </c>
      <c r="G66" t="s">
        <v>3139</v>
      </c>
    </row>
    <row r="67" spans="1:7" ht="11.25" customHeight="1">
      <c r="A67" s="300" t="s">
        <v>14</v>
      </c>
      <c r="B67" t="s">
        <v>3116</v>
      </c>
      <c r="C67" t="s">
        <v>3117</v>
      </c>
      <c r="D67" t="s">
        <v>3140</v>
      </c>
      <c r="E67" t="s">
        <v>3141</v>
      </c>
      <c r="F67" t="s">
        <v>3006</v>
      </c>
      <c r="G67" t="s">
        <v>1895</v>
      </c>
    </row>
    <row r="68" spans="1:7" ht="11.25" customHeight="1">
      <c r="A68" s="300" t="s">
        <v>14</v>
      </c>
      <c r="B68" t="s">
        <v>3116</v>
      </c>
      <c r="C68" t="s">
        <v>3117</v>
      </c>
      <c r="D68" t="s">
        <v>3142</v>
      </c>
      <c r="E68" t="s">
        <v>3143</v>
      </c>
      <c r="F68" t="s">
        <v>3022</v>
      </c>
      <c r="G68" t="s">
        <v>3144</v>
      </c>
    </row>
    <row r="69" spans="1:7" ht="11.25" customHeight="1">
      <c r="A69" s="300" t="s">
        <v>14</v>
      </c>
      <c r="B69" t="s">
        <v>3116</v>
      </c>
      <c r="C69" t="s">
        <v>3117</v>
      </c>
      <c r="D69" t="s">
        <v>3145</v>
      </c>
      <c r="E69" t="s">
        <v>3146</v>
      </c>
      <c r="F69" t="s">
        <v>3006</v>
      </c>
      <c r="G69" t="s">
        <v>2106</v>
      </c>
    </row>
    <row r="70" spans="1:7" ht="11.25" customHeight="1">
      <c r="A70" s="300" t="s">
        <v>14</v>
      </c>
      <c r="B70" t="s">
        <v>3116</v>
      </c>
      <c r="C70" t="s">
        <v>3117</v>
      </c>
      <c r="D70" t="s">
        <v>3147</v>
      </c>
      <c r="E70" t="s">
        <v>3148</v>
      </c>
      <c r="F70" t="s">
        <v>3006</v>
      </c>
      <c r="G70" t="s">
        <v>3149</v>
      </c>
    </row>
    <row r="71" spans="1:7" ht="11.25" customHeight="1">
      <c r="A71" s="300" t="s">
        <v>14</v>
      </c>
      <c r="B71" t="s">
        <v>3116</v>
      </c>
      <c r="C71" t="s">
        <v>3117</v>
      </c>
      <c r="D71" t="s">
        <v>3150</v>
      </c>
      <c r="E71" t="s">
        <v>3151</v>
      </c>
      <c r="F71" t="s">
        <v>3006</v>
      </c>
      <c r="G71" t="s">
        <v>3152</v>
      </c>
    </row>
    <row r="72" spans="1:7" ht="11.25" customHeight="1">
      <c r="A72" s="300" t="s">
        <v>14</v>
      </c>
      <c r="B72" t="s">
        <v>3116</v>
      </c>
      <c r="C72" t="s">
        <v>3117</v>
      </c>
      <c r="D72" t="s">
        <v>3153</v>
      </c>
      <c r="E72" t="s">
        <v>3154</v>
      </c>
      <c r="F72" t="s">
        <v>3006</v>
      </c>
      <c r="G72" t="s">
        <v>3155</v>
      </c>
    </row>
    <row r="73" spans="1:7" ht="11.25" customHeight="1">
      <c r="A73" s="300" t="s">
        <v>14</v>
      </c>
      <c r="B73" t="s">
        <v>3116</v>
      </c>
      <c r="C73" t="s">
        <v>3117</v>
      </c>
      <c r="D73" t="s">
        <v>3156</v>
      </c>
      <c r="E73" t="s">
        <v>3157</v>
      </c>
      <c r="F73" t="s">
        <v>3006</v>
      </c>
      <c r="G73" t="s">
        <v>3158</v>
      </c>
    </row>
    <row r="74" spans="1:7" ht="11.25" customHeight="1">
      <c r="A74" s="300" t="s">
        <v>14</v>
      </c>
      <c r="B74" t="s">
        <v>3159</v>
      </c>
      <c r="C74" t="s">
        <v>3160</v>
      </c>
      <c r="D74" t="s">
        <v>3159</v>
      </c>
      <c r="E74" t="s">
        <v>3160</v>
      </c>
      <c r="F74" t="s">
        <v>3161</v>
      </c>
      <c r="G74" t="s">
        <v>3162</v>
      </c>
    </row>
    <row r="75" spans="1:7" ht="11.25" customHeight="1">
      <c r="A75" s="300" t="s">
        <v>14</v>
      </c>
      <c r="B75" t="s">
        <v>3163</v>
      </c>
      <c r="C75" t="s">
        <v>3164</v>
      </c>
      <c r="D75" t="s">
        <v>3165</v>
      </c>
      <c r="E75" t="s">
        <v>3166</v>
      </c>
      <c r="F75" t="s">
        <v>3006</v>
      </c>
      <c r="G75" t="s">
        <v>3167</v>
      </c>
    </row>
    <row r="76" spans="1:7" ht="11.25" customHeight="1">
      <c r="A76" s="300" t="s">
        <v>14</v>
      </c>
      <c r="B76" t="s">
        <v>3163</v>
      </c>
      <c r="C76" t="s">
        <v>3164</v>
      </c>
      <c r="D76" t="s">
        <v>3163</v>
      </c>
      <c r="E76" t="s">
        <v>3164</v>
      </c>
      <c r="F76" t="s">
        <v>3007</v>
      </c>
      <c r="G76" t="s">
        <v>3168</v>
      </c>
    </row>
    <row r="77" spans="1:7" ht="11.25" customHeight="1">
      <c r="A77" s="300" t="s">
        <v>14</v>
      </c>
      <c r="B77" t="s">
        <v>3163</v>
      </c>
      <c r="C77" t="s">
        <v>3164</v>
      </c>
      <c r="D77" t="s">
        <v>3169</v>
      </c>
      <c r="E77" t="s">
        <v>3170</v>
      </c>
      <c r="F77" t="s">
        <v>3006</v>
      </c>
      <c r="G77" t="s">
        <v>3171</v>
      </c>
    </row>
    <row r="78" spans="1:7" ht="11.25" customHeight="1">
      <c r="A78" s="300" t="s">
        <v>14</v>
      </c>
      <c r="B78" t="s">
        <v>3163</v>
      </c>
      <c r="C78" t="s">
        <v>3164</v>
      </c>
      <c r="D78" t="s">
        <v>3172</v>
      </c>
      <c r="E78" t="s">
        <v>3173</v>
      </c>
      <c r="F78" t="s">
        <v>3006</v>
      </c>
      <c r="G78" t="s">
        <v>3174</v>
      </c>
    </row>
    <row r="79" spans="1:7" ht="11.25" customHeight="1">
      <c r="A79" s="300" t="s">
        <v>14</v>
      </c>
      <c r="B79" t="s">
        <v>3163</v>
      </c>
      <c r="C79" t="s">
        <v>3164</v>
      </c>
      <c r="D79" t="s">
        <v>3175</v>
      </c>
      <c r="E79" t="s">
        <v>3176</v>
      </c>
      <c r="F79" t="s">
        <v>3006</v>
      </c>
      <c r="G79" t="s">
        <v>3177</v>
      </c>
    </row>
    <row r="80" spans="1:7" ht="11.25" customHeight="1">
      <c r="A80" s="300" t="s">
        <v>14</v>
      </c>
      <c r="B80" t="s">
        <v>3163</v>
      </c>
      <c r="C80" t="s">
        <v>3164</v>
      </c>
      <c r="D80" t="s">
        <v>3178</v>
      </c>
      <c r="E80" t="s">
        <v>3179</v>
      </c>
      <c r="F80" t="s">
        <v>3006</v>
      </c>
      <c r="G80" t="s">
        <v>3180</v>
      </c>
    </row>
    <row r="81" spans="1:7" ht="11.25" customHeight="1">
      <c r="A81" s="300" t="s">
        <v>14</v>
      </c>
      <c r="B81" t="s">
        <v>3163</v>
      </c>
      <c r="C81" t="s">
        <v>3164</v>
      </c>
      <c r="D81" t="s">
        <v>3181</v>
      </c>
      <c r="E81" t="s">
        <v>3182</v>
      </c>
      <c r="F81" t="s">
        <v>3022</v>
      </c>
      <c r="G81" t="s">
        <v>3183</v>
      </c>
    </row>
    <row r="82" spans="1:7" ht="11.25" customHeight="1">
      <c r="A82" s="300" t="s">
        <v>14</v>
      </c>
      <c r="B82" t="s">
        <v>3163</v>
      </c>
      <c r="C82" t="s">
        <v>3164</v>
      </c>
      <c r="D82" t="s">
        <v>3184</v>
      </c>
      <c r="E82" t="s">
        <v>3185</v>
      </c>
      <c r="F82" t="s">
        <v>3006</v>
      </c>
      <c r="G82" t="s">
        <v>3186</v>
      </c>
    </row>
    <row r="83" spans="1:7" ht="11.25" customHeight="1">
      <c r="A83" s="300" t="s">
        <v>14</v>
      </c>
      <c r="B83" t="s">
        <v>3163</v>
      </c>
      <c r="C83" t="s">
        <v>3164</v>
      </c>
      <c r="D83" t="s">
        <v>3187</v>
      </c>
      <c r="E83" t="s">
        <v>3188</v>
      </c>
      <c r="F83" t="s">
        <v>3006</v>
      </c>
      <c r="G83" t="s">
        <v>3189</v>
      </c>
    </row>
    <row r="84" spans="1:7" ht="11.25" customHeight="1">
      <c r="A84" s="300" t="s">
        <v>14</v>
      </c>
      <c r="B84" t="s">
        <v>3163</v>
      </c>
      <c r="C84" t="s">
        <v>3164</v>
      </c>
      <c r="D84" t="s">
        <v>3190</v>
      </c>
      <c r="E84" t="s">
        <v>3191</v>
      </c>
      <c r="F84" t="s">
        <v>3006</v>
      </c>
      <c r="G84" t="s">
        <v>3192</v>
      </c>
    </row>
    <row r="85" spans="1:7" ht="11.25" customHeight="1">
      <c r="A85" s="300" t="s">
        <v>14</v>
      </c>
      <c r="B85" t="s">
        <v>3163</v>
      </c>
      <c r="C85" t="s">
        <v>3164</v>
      </c>
      <c r="D85" t="s">
        <v>3193</v>
      </c>
      <c r="E85" t="s">
        <v>3194</v>
      </c>
      <c r="F85" t="s">
        <v>3006</v>
      </c>
      <c r="G85" t="s">
        <v>3195</v>
      </c>
    </row>
    <row r="86" spans="1:7" ht="11.25" customHeight="1">
      <c r="A86" s="300" t="s">
        <v>14</v>
      </c>
      <c r="B86" t="s">
        <v>3163</v>
      </c>
      <c r="C86" t="s">
        <v>3164</v>
      </c>
      <c r="D86" t="s">
        <v>3196</v>
      </c>
      <c r="E86" t="s">
        <v>3197</v>
      </c>
      <c r="F86" t="s">
        <v>3006</v>
      </c>
      <c r="G86" t="s">
        <v>3198</v>
      </c>
    </row>
    <row r="87" spans="1:7" ht="11.25" customHeight="1">
      <c r="A87" s="300" t="s">
        <v>14</v>
      </c>
      <c r="B87" t="s">
        <v>3199</v>
      </c>
      <c r="C87" t="s">
        <v>3200</v>
      </c>
      <c r="D87" t="s">
        <v>3201</v>
      </c>
      <c r="E87" t="s">
        <v>3202</v>
      </c>
      <c r="F87" t="s">
        <v>3006</v>
      </c>
      <c r="G87" t="s">
        <v>3203</v>
      </c>
    </row>
    <row r="88" spans="1:7" ht="11.25" customHeight="1">
      <c r="A88" s="300" t="s">
        <v>14</v>
      </c>
      <c r="B88" t="s">
        <v>3199</v>
      </c>
      <c r="C88" t="s">
        <v>3200</v>
      </c>
      <c r="D88" t="s">
        <v>3204</v>
      </c>
      <c r="E88" t="s">
        <v>3205</v>
      </c>
      <c r="F88" t="s">
        <v>3006</v>
      </c>
      <c r="G88" t="s">
        <v>3206</v>
      </c>
    </row>
    <row r="89" spans="1:7" ht="11.25" customHeight="1">
      <c r="A89" s="300" t="s">
        <v>14</v>
      </c>
      <c r="B89" t="s">
        <v>3199</v>
      </c>
      <c r="C89" t="s">
        <v>3200</v>
      </c>
      <c r="D89" t="s">
        <v>3199</v>
      </c>
      <c r="E89" t="s">
        <v>3200</v>
      </c>
      <c r="F89" t="s">
        <v>3007</v>
      </c>
      <c r="G89" t="s">
        <v>3207</v>
      </c>
    </row>
    <row r="90" spans="1:7" ht="11.25" customHeight="1">
      <c r="A90" s="300" t="s">
        <v>14</v>
      </c>
      <c r="B90" t="s">
        <v>3199</v>
      </c>
      <c r="C90" t="s">
        <v>3200</v>
      </c>
      <c r="D90" t="s">
        <v>3208</v>
      </c>
      <c r="E90" t="s">
        <v>3209</v>
      </c>
      <c r="F90" t="s">
        <v>3006</v>
      </c>
      <c r="G90" t="s">
        <v>3210</v>
      </c>
    </row>
    <row r="91" spans="1:7" ht="11.25" customHeight="1">
      <c r="A91" s="300" t="s">
        <v>14</v>
      </c>
      <c r="B91" t="s">
        <v>3199</v>
      </c>
      <c r="C91" t="s">
        <v>3200</v>
      </c>
      <c r="D91" t="s">
        <v>3211</v>
      </c>
      <c r="E91" t="s">
        <v>3212</v>
      </c>
      <c r="F91" t="s">
        <v>3022</v>
      </c>
      <c r="G91" t="s">
        <v>3213</v>
      </c>
    </row>
    <row r="92" spans="1:7" ht="11.25" customHeight="1">
      <c r="A92" s="300" t="s">
        <v>14</v>
      </c>
      <c r="B92" t="s">
        <v>3199</v>
      </c>
      <c r="C92" t="s">
        <v>3200</v>
      </c>
      <c r="D92" t="s">
        <v>3214</v>
      </c>
      <c r="E92" t="s">
        <v>3215</v>
      </c>
      <c r="F92" t="s">
        <v>3006</v>
      </c>
      <c r="G92" t="s">
        <v>3216</v>
      </c>
    </row>
    <row r="93" spans="1:7" ht="11.25" customHeight="1">
      <c r="A93" s="300" t="s">
        <v>14</v>
      </c>
      <c r="B93" t="s">
        <v>3199</v>
      </c>
      <c r="C93" t="s">
        <v>3200</v>
      </c>
      <c r="D93" t="s">
        <v>3217</v>
      </c>
      <c r="E93" t="s">
        <v>3218</v>
      </c>
      <c r="F93" t="s">
        <v>3006</v>
      </c>
      <c r="G93" t="s">
        <v>3219</v>
      </c>
    </row>
    <row r="94" spans="1:7" ht="11.25" customHeight="1">
      <c r="A94" s="300" t="s">
        <v>14</v>
      </c>
      <c r="B94" t="s">
        <v>3220</v>
      </c>
      <c r="C94" t="s">
        <v>3221</v>
      </c>
      <c r="D94" t="s">
        <v>3222</v>
      </c>
      <c r="E94" t="s">
        <v>3223</v>
      </c>
      <c r="F94" t="s">
        <v>3006</v>
      </c>
      <c r="G94" t="s">
        <v>3224</v>
      </c>
    </row>
    <row r="95" spans="1:7" ht="11.25" customHeight="1">
      <c r="A95" s="300" t="s">
        <v>14</v>
      </c>
      <c r="B95" t="s">
        <v>3220</v>
      </c>
      <c r="C95" t="s">
        <v>3221</v>
      </c>
      <c r="D95" t="s">
        <v>3225</v>
      </c>
      <c r="E95" t="s">
        <v>3226</v>
      </c>
      <c r="F95" t="s">
        <v>3006</v>
      </c>
      <c r="G95" t="s">
        <v>3227</v>
      </c>
    </row>
    <row r="96" spans="1:7" ht="11.25" customHeight="1">
      <c r="A96" s="300" t="s">
        <v>14</v>
      </c>
      <c r="B96" t="s">
        <v>3220</v>
      </c>
      <c r="C96" t="s">
        <v>3221</v>
      </c>
      <c r="D96" t="s">
        <v>3228</v>
      </c>
      <c r="E96" t="s">
        <v>3229</v>
      </c>
      <c r="F96" t="s">
        <v>3006</v>
      </c>
      <c r="G96" t="s">
        <v>3230</v>
      </c>
    </row>
    <row r="97" spans="1:7" ht="11.25" customHeight="1">
      <c r="A97" s="300" t="s">
        <v>14</v>
      </c>
      <c r="B97" t="s">
        <v>3220</v>
      </c>
      <c r="C97" t="s">
        <v>3221</v>
      </c>
      <c r="D97" t="s">
        <v>3231</v>
      </c>
      <c r="E97" t="s">
        <v>3232</v>
      </c>
      <c r="F97" t="s">
        <v>3062</v>
      </c>
      <c r="G97" t="s">
        <v>3233</v>
      </c>
    </row>
    <row r="98" spans="1:7" ht="11.25" customHeight="1">
      <c r="A98" s="300" t="s">
        <v>14</v>
      </c>
      <c r="B98" t="s">
        <v>3220</v>
      </c>
      <c r="C98" t="s">
        <v>3221</v>
      </c>
      <c r="D98" t="s">
        <v>3220</v>
      </c>
      <c r="E98" t="s">
        <v>3221</v>
      </c>
      <c r="F98" t="s">
        <v>3007</v>
      </c>
      <c r="G98" t="s">
        <v>3234</v>
      </c>
    </row>
    <row r="99" spans="1:7" ht="11.25" customHeight="1">
      <c r="A99" s="300" t="s">
        <v>14</v>
      </c>
      <c r="B99" t="s">
        <v>3220</v>
      </c>
      <c r="C99" t="s">
        <v>3221</v>
      </c>
      <c r="D99" t="s">
        <v>3235</v>
      </c>
      <c r="E99" t="s">
        <v>3236</v>
      </c>
      <c r="F99" t="s">
        <v>3006</v>
      </c>
      <c r="G99" t="s">
        <v>3237</v>
      </c>
    </row>
    <row r="100" spans="1:7" ht="11.25" customHeight="1">
      <c r="A100" s="300" t="s">
        <v>14</v>
      </c>
      <c r="B100" t="s">
        <v>3220</v>
      </c>
      <c r="C100" t="s">
        <v>3221</v>
      </c>
      <c r="D100" t="s">
        <v>3238</v>
      </c>
      <c r="E100" t="s">
        <v>3239</v>
      </c>
      <c r="F100" t="s">
        <v>3006</v>
      </c>
      <c r="G100" t="s">
        <v>3240</v>
      </c>
    </row>
    <row r="101" spans="1:7" ht="11.25" customHeight="1">
      <c r="A101" s="300" t="s">
        <v>14</v>
      </c>
      <c r="B101" t="s">
        <v>3220</v>
      </c>
      <c r="C101" t="s">
        <v>3221</v>
      </c>
      <c r="D101" t="s">
        <v>3241</v>
      </c>
      <c r="E101" t="s">
        <v>3242</v>
      </c>
      <c r="F101" t="s">
        <v>3006</v>
      </c>
      <c r="G101" t="s">
        <v>3243</v>
      </c>
    </row>
    <row r="102" spans="1:7" ht="11.25" customHeight="1">
      <c r="A102" s="300" t="s">
        <v>14</v>
      </c>
      <c r="B102" t="s">
        <v>3220</v>
      </c>
      <c r="C102" t="s">
        <v>3221</v>
      </c>
      <c r="D102" t="s">
        <v>3244</v>
      </c>
      <c r="E102" t="s">
        <v>3245</v>
      </c>
      <c r="F102" t="s">
        <v>3006</v>
      </c>
      <c r="G102" t="s">
        <v>3246</v>
      </c>
    </row>
    <row r="103" spans="1:7" ht="11.25" customHeight="1">
      <c r="A103" s="300" t="s">
        <v>14</v>
      </c>
      <c r="B103" t="s">
        <v>3220</v>
      </c>
      <c r="C103" t="s">
        <v>3221</v>
      </c>
      <c r="D103" t="s">
        <v>3247</v>
      </c>
      <c r="E103" t="s">
        <v>3248</v>
      </c>
      <c r="F103" t="s">
        <v>3006</v>
      </c>
      <c r="G103" t="s">
        <v>3249</v>
      </c>
    </row>
    <row r="104" spans="1:7" ht="11.25" customHeight="1">
      <c r="A104" s="300" t="s">
        <v>14</v>
      </c>
      <c r="B104" t="s">
        <v>3220</v>
      </c>
      <c r="C104" t="s">
        <v>3221</v>
      </c>
      <c r="D104" t="s">
        <v>3250</v>
      </c>
      <c r="E104" t="s">
        <v>3251</v>
      </c>
      <c r="F104" t="s">
        <v>3006</v>
      </c>
      <c r="G104" t="s">
        <v>3252</v>
      </c>
    </row>
    <row r="105" spans="1:7" ht="11.25" customHeight="1">
      <c r="A105" s="300" t="s">
        <v>14</v>
      </c>
      <c r="B105" t="s">
        <v>3220</v>
      </c>
      <c r="C105" t="s">
        <v>3221</v>
      </c>
      <c r="D105" t="s">
        <v>3253</v>
      </c>
      <c r="E105" t="s">
        <v>3254</v>
      </c>
      <c r="F105" t="s">
        <v>3006</v>
      </c>
      <c r="G105" t="s">
        <v>3255</v>
      </c>
    </row>
    <row r="106" spans="1:7" ht="11.25" customHeight="1">
      <c r="A106" s="300" t="s">
        <v>14</v>
      </c>
      <c r="B106" t="s">
        <v>3220</v>
      </c>
      <c r="C106" t="s">
        <v>3221</v>
      </c>
      <c r="D106" t="s">
        <v>3256</v>
      </c>
      <c r="E106" t="s">
        <v>3257</v>
      </c>
      <c r="F106" t="s">
        <v>3006</v>
      </c>
      <c r="G106" t="s">
        <v>3258</v>
      </c>
    </row>
    <row r="107" spans="1:7" ht="11.25" customHeight="1">
      <c r="A107" s="300" t="s">
        <v>14</v>
      </c>
      <c r="B107" t="s">
        <v>3259</v>
      </c>
      <c r="C107" t="s">
        <v>3260</v>
      </c>
      <c r="D107" t="s">
        <v>3261</v>
      </c>
      <c r="E107" t="s">
        <v>3262</v>
      </c>
      <c r="F107" t="s">
        <v>3006</v>
      </c>
      <c r="G107" t="s">
        <v>3263</v>
      </c>
    </row>
    <row r="108" spans="1:7" ht="11.25" customHeight="1">
      <c r="A108" s="300" t="s">
        <v>14</v>
      </c>
      <c r="B108" t="s">
        <v>3259</v>
      </c>
      <c r="C108" t="s">
        <v>3260</v>
      </c>
      <c r="D108" t="s">
        <v>3259</v>
      </c>
      <c r="E108" t="s">
        <v>3260</v>
      </c>
      <c r="F108" t="s">
        <v>3007</v>
      </c>
      <c r="G108" t="s">
        <v>3264</v>
      </c>
    </row>
    <row r="109" spans="1:7" ht="11.25" customHeight="1">
      <c r="A109" s="300" t="s">
        <v>14</v>
      </c>
      <c r="B109" t="s">
        <v>3259</v>
      </c>
      <c r="C109" t="s">
        <v>3260</v>
      </c>
      <c r="D109" t="s">
        <v>3265</v>
      </c>
      <c r="E109" t="s">
        <v>3266</v>
      </c>
      <c r="F109" t="s">
        <v>3006</v>
      </c>
      <c r="G109" t="s">
        <v>3267</v>
      </c>
    </row>
    <row r="110" spans="1:7" ht="11.25" customHeight="1">
      <c r="A110" s="300" t="s">
        <v>14</v>
      </c>
      <c r="B110" t="s">
        <v>3259</v>
      </c>
      <c r="C110" t="s">
        <v>3260</v>
      </c>
      <c r="D110" t="s">
        <v>3268</v>
      </c>
      <c r="E110" t="s">
        <v>3269</v>
      </c>
      <c r="F110" t="s">
        <v>3006</v>
      </c>
      <c r="G110" t="s">
        <v>3270</v>
      </c>
    </row>
    <row r="111" spans="1:7" ht="11.25" customHeight="1">
      <c r="A111" s="300" t="s">
        <v>14</v>
      </c>
      <c r="B111" t="s">
        <v>3259</v>
      </c>
      <c r="C111" t="s">
        <v>3260</v>
      </c>
      <c r="D111" t="s">
        <v>3271</v>
      </c>
      <c r="E111" t="s">
        <v>3272</v>
      </c>
      <c r="F111" t="s">
        <v>3006</v>
      </c>
      <c r="G111" t="s">
        <v>3273</v>
      </c>
    </row>
    <row r="112" spans="1:7" ht="11.25" customHeight="1">
      <c r="A112" s="300" t="s">
        <v>14</v>
      </c>
      <c r="B112" t="s">
        <v>3259</v>
      </c>
      <c r="C112" t="s">
        <v>3260</v>
      </c>
      <c r="D112" t="s">
        <v>3274</v>
      </c>
      <c r="E112" t="s">
        <v>3275</v>
      </c>
      <c r="F112" t="s">
        <v>3006</v>
      </c>
      <c r="G112" t="s">
        <v>3276</v>
      </c>
    </row>
    <row r="113" spans="1:7" ht="11.25" customHeight="1">
      <c r="A113" s="300" t="s">
        <v>14</v>
      </c>
      <c r="B113" t="s">
        <v>3259</v>
      </c>
      <c r="C113" t="s">
        <v>3260</v>
      </c>
      <c r="D113" t="s">
        <v>3277</v>
      </c>
      <c r="E113" t="s">
        <v>3278</v>
      </c>
      <c r="F113" t="s">
        <v>3006</v>
      </c>
      <c r="G113" t="s">
        <v>3279</v>
      </c>
    </row>
    <row r="114" spans="1:7" ht="11.25" customHeight="1">
      <c r="A114" s="300" t="s">
        <v>14</v>
      </c>
      <c r="B114" t="s">
        <v>3280</v>
      </c>
      <c r="C114" t="s">
        <v>3281</v>
      </c>
      <c r="D114" t="s">
        <v>3282</v>
      </c>
      <c r="E114" t="s">
        <v>3283</v>
      </c>
      <c r="F114" t="s">
        <v>3006</v>
      </c>
      <c r="G114" t="s">
        <v>3284</v>
      </c>
    </row>
    <row r="115" spans="1:7" ht="11.25" customHeight="1">
      <c r="A115" s="300" t="s">
        <v>14</v>
      </c>
      <c r="B115" t="s">
        <v>3280</v>
      </c>
      <c r="C115" t="s">
        <v>3281</v>
      </c>
      <c r="D115" t="s">
        <v>3280</v>
      </c>
      <c r="E115" t="s">
        <v>3281</v>
      </c>
      <c r="F115" t="s">
        <v>3007</v>
      </c>
      <c r="G115" t="s">
        <v>3285</v>
      </c>
    </row>
    <row r="116" spans="1:7" ht="11.25" customHeight="1">
      <c r="A116" s="300" t="s">
        <v>14</v>
      </c>
      <c r="B116" t="s">
        <v>3280</v>
      </c>
      <c r="C116" t="s">
        <v>3281</v>
      </c>
      <c r="D116" t="s">
        <v>3286</v>
      </c>
      <c r="E116" t="s">
        <v>3287</v>
      </c>
      <c r="F116" t="s">
        <v>3006</v>
      </c>
      <c r="G116" t="s">
        <v>3288</v>
      </c>
    </row>
    <row r="117" spans="1:7" ht="11.25" customHeight="1">
      <c r="A117" s="300" t="s">
        <v>14</v>
      </c>
      <c r="B117" t="s">
        <v>3280</v>
      </c>
      <c r="C117" t="s">
        <v>3281</v>
      </c>
      <c r="D117" t="s">
        <v>3289</v>
      </c>
      <c r="E117" t="s">
        <v>3290</v>
      </c>
      <c r="F117" t="s">
        <v>3006</v>
      </c>
      <c r="G117" t="s">
        <v>3291</v>
      </c>
    </row>
    <row r="118" spans="1:7" ht="11.25" customHeight="1">
      <c r="A118" s="300" t="s">
        <v>14</v>
      </c>
      <c r="B118" t="s">
        <v>3280</v>
      </c>
      <c r="C118" t="s">
        <v>3281</v>
      </c>
      <c r="D118" t="s">
        <v>3292</v>
      </c>
      <c r="E118" t="s">
        <v>3293</v>
      </c>
      <c r="F118" t="s">
        <v>3006</v>
      </c>
      <c r="G118" t="s">
        <v>3294</v>
      </c>
    </row>
    <row r="119" spans="1:7" ht="11.25" customHeight="1">
      <c r="A119" s="300" t="s">
        <v>14</v>
      </c>
      <c r="B119" t="s">
        <v>3280</v>
      </c>
      <c r="C119" t="s">
        <v>3281</v>
      </c>
      <c r="D119" t="s">
        <v>3295</v>
      </c>
      <c r="E119" t="s">
        <v>3296</v>
      </c>
      <c r="F119" t="s">
        <v>3006</v>
      </c>
      <c r="G119" t="s">
        <v>3297</v>
      </c>
    </row>
    <row r="120" spans="1:7" ht="11.25" customHeight="1">
      <c r="A120" s="300" t="s">
        <v>14</v>
      </c>
      <c r="B120" t="s">
        <v>3280</v>
      </c>
      <c r="C120" t="s">
        <v>3281</v>
      </c>
      <c r="D120" t="s">
        <v>3298</v>
      </c>
      <c r="E120" t="s">
        <v>3299</v>
      </c>
      <c r="F120" t="s">
        <v>3022</v>
      </c>
      <c r="G120" t="s">
        <v>3300</v>
      </c>
    </row>
    <row r="121" spans="1:7" ht="11.25" customHeight="1">
      <c r="A121" s="300" t="s">
        <v>14</v>
      </c>
      <c r="B121" t="s">
        <v>3280</v>
      </c>
      <c r="C121" t="s">
        <v>3281</v>
      </c>
      <c r="D121" t="s">
        <v>3301</v>
      </c>
      <c r="E121" t="s">
        <v>3302</v>
      </c>
      <c r="F121" t="s">
        <v>3006</v>
      </c>
      <c r="G121" t="s">
        <v>3303</v>
      </c>
    </row>
    <row r="122" spans="1:7" ht="11.25" customHeight="1">
      <c r="A122" s="300" t="s">
        <v>14</v>
      </c>
      <c r="B122" t="s">
        <v>3280</v>
      </c>
      <c r="C122" t="s">
        <v>3281</v>
      </c>
      <c r="D122" t="s">
        <v>3304</v>
      </c>
      <c r="E122" t="s">
        <v>3305</v>
      </c>
      <c r="F122" t="s">
        <v>3006</v>
      </c>
      <c r="G122" t="s">
        <v>3306</v>
      </c>
    </row>
    <row r="123" spans="1:7" ht="11.25" customHeight="1">
      <c r="A123" s="300" t="s">
        <v>14</v>
      </c>
      <c r="B123" t="s">
        <v>3280</v>
      </c>
      <c r="C123" t="s">
        <v>3281</v>
      </c>
      <c r="D123" t="s">
        <v>3307</v>
      </c>
      <c r="E123" t="s">
        <v>3308</v>
      </c>
      <c r="F123" t="s">
        <v>3006</v>
      </c>
      <c r="G123" t="s">
        <v>3309</v>
      </c>
    </row>
    <row r="124" spans="1:7" ht="11.25" customHeight="1">
      <c r="A124" s="300" t="s">
        <v>14</v>
      </c>
      <c r="B124" t="s">
        <v>3310</v>
      </c>
      <c r="C124" t="s">
        <v>3311</v>
      </c>
      <c r="D124" t="s">
        <v>3312</v>
      </c>
      <c r="E124" t="s">
        <v>3313</v>
      </c>
      <c r="F124" t="s">
        <v>3006</v>
      </c>
      <c r="G124" t="s">
        <v>3314</v>
      </c>
    </row>
    <row r="125" spans="1:7" ht="11.25" customHeight="1">
      <c r="A125" s="300" t="s">
        <v>14</v>
      </c>
      <c r="B125" t="s">
        <v>3310</v>
      </c>
      <c r="C125" t="s">
        <v>3311</v>
      </c>
      <c r="D125" t="s">
        <v>3315</v>
      </c>
      <c r="E125" t="s">
        <v>3316</v>
      </c>
      <c r="F125" t="s">
        <v>3006</v>
      </c>
      <c r="G125" t="s">
        <v>3317</v>
      </c>
    </row>
    <row r="126" spans="1:7" ht="11.25" customHeight="1">
      <c r="A126" s="300" t="s">
        <v>14</v>
      </c>
      <c r="B126" t="s">
        <v>3310</v>
      </c>
      <c r="C126" t="s">
        <v>3311</v>
      </c>
      <c r="D126" t="s">
        <v>3318</v>
      </c>
      <c r="E126" t="s">
        <v>3319</v>
      </c>
      <c r="F126" t="s">
        <v>3006</v>
      </c>
      <c r="G126" t="s">
        <v>3320</v>
      </c>
    </row>
    <row r="127" spans="1:7" ht="11.25" customHeight="1">
      <c r="A127" s="300" t="s">
        <v>14</v>
      </c>
      <c r="B127" t="s">
        <v>3310</v>
      </c>
      <c r="C127" t="s">
        <v>3311</v>
      </c>
      <c r="D127" t="s">
        <v>3310</v>
      </c>
      <c r="E127" t="s">
        <v>3311</v>
      </c>
      <c r="F127" t="s">
        <v>3007</v>
      </c>
      <c r="G127" t="s">
        <v>3321</v>
      </c>
    </row>
    <row r="128" spans="1:7" ht="11.25" customHeight="1">
      <c r="A128" s="300" t="s">
        <v>14</v>
      </c>
      <c r="B128" t="s">
        <v>3310</v>
      </c>
      <c r="C128" t="s">
        <v>3311</v>
      </c>
      <c r="D128" t="s">
        <v>3322</v>
      </c>
      <c r="E128" t="s">
        <v>3323</v>
      </c>
      <c r="F128" t="s">
        <v>3006</v>
      </c>
      <c r="G128" t="s">
        <v>3324</v>
      </c>
    </row>
    <row r="129" spans="1:7" ht="11.25" customHeight="1">
      <c r="A129" s="300" t="s">
        <v>14</v>
      </c>
      <c r="B129" t="s">
        <v>3310</v>
      </c>
      <c r="C129" t="s">
        <v>3311</v>
      </c>
      <c r="D129" t="s">
        <v>3325</v>
      </c>
      <c r="E129" t="s">
        <v>3326</v>
      </c>
      <c r="F129" t="s">
        <v>3006</v>
      </c>
      <c r="G129" t="s">
        <v>3327</v>
      </c>
    </row>
    <row r="130" spans="1:7" ht="11.25" customHeight="1">
      <c r="A130" s="300" t="s">
        <v>14</v>
      </c>
      <c r="B130" t="s">
        <v>3310</v>
      </c>
      <c r="C130" t="s">
        <v>3311</v>
      </c>
      <c r="D130" t="s">
        <v>3328</v>
      </c>
      <c r="E130" t="s">
        <v>3329</v>
      </c>
      <c r="F130" t="s">
        <v>3006</v>
      </c>
      <c r="G130" t="s">
        <v>3330</v>
      </c>
    </row>
    <row r="131" spans="1:7" ht="11.25" customHeight="1">
      <c r="A131" s="300" t="s">
        <v>14</v>
      </c>
      <c r="B131" t="s">
        <v>3310</v>
      </c>
      <c r="C131" t="s">
        <v>3311</v>
      </c>
      <c r="D131" t="s">
        <v>3331</v>
      </c>
      <c r="E131" t="s">
        <v>3332</v>
      </c>
      <c r="F131" t="s">
        <v>3006</v>
      </c>
      <c r="G131" t="s">
        <v>3333</v>
      </c>
    </row>
    <row r="132" spans="1:7" ht="11.25" customHeight="1">
      <c r="A132" s="300" t="s">
        <v>14</v>
      </c>
      <c r="B132" t="s">
        <v>3310</v>
      </c>
      <c r="C132" t="s">
        <v>3311</v>
      </c>
      <c r="D132" t="s">
        <v>3334</v>
      </c>
      <c r="E132" t="s">
        <v>3335</v>
      </c>
      <c r="F132" t="s">
        <v>3006</v>
      </c>
      <c r="G132" t="s">
        <v>3336</v>
      </c>
    </row>
    <row r="133" spans="1:7" ht="11.25" customHeight="1">
      <c r="A133" s="300" t="s">
        <v>14</v>
      </c>
      <c r="B133" t="s">
        <v>3310</v>
      </c>
      <c r="C133" t="s">
        <v>3311</v>
      </c>
      <c r="D133" t="s">
        <v>3337</v>
      </c>
      <c r="E133" t="s">
        <v>3338</v>
      </c>
      <c r="F133" t="s">
        <v>3006</v>
      </c>
      <c r="G133" t="s">
        <v>3339</v>
      </c>
    </row>
    <row r="134" spans="1:7" ht="11.25" customHeight="1">
      <c r="A134" s="300" t="s">
        <v>14</v>
      </c>
      <c r="B134" t="s">
        <v>3310</v>
      </c>
      <c r="C134" t="s">
        <v>3311</v>
      </c>
      <c r="D134" t="s">
        <v>3340</v>
      </c>
      <c r="E134" t="s">
        <v>3341</v>
      </c>
      <c r="F134" t="s">
        <v>3006</v>
      </c>
      <c r="G134" t="s">
        <v>3342</v>
      </c>
    </row>
    <row r="135" spans="1:7" ht="11.25" customHeight="1">
      <c r="A135" s="300" t="s">
        <v>14</v>
      </c>
      <c r="B135" t="s">
        <v>3310</v>
      </c>
      <c r="C135" t="s">
        <v>3311</v>
      </c>
      <c r="D135" t="s">
        <v>3343</v>
      </c>
      <c r="E135" t="s">
        <v>3344</v>
      </c>
      <c r="F135" t="s">
        <v>3006</v>
      </c>
      <c r="G135" t="s">
        <v>3345</v>
      </c>
    </row>
    <row r="136" spans="1:7" ht="11.25" customHeight="1">
      <c r="A136" s="300" t="s">
        <v>14</v>
      </c>
      <c r="B136" t="s">
        <v>3310</v>
      </c>
      <c r="C136" t="s">
        <v>3311</v>
      </c>
      <c r="D136" t="s">
        <v>3346</v>
      </c>
      <c r="E136" t="s">
        <v>3347</v>
      </c>
      <c r="F136" t="s">
        <v>3022</v>
      </c>
      <c r="G136" t="s">
        <v>3348</v>
      </c>
    </row>
    <row r="137" spans="1:7" ht="11.25" customHeight="1">
      <c r="A137" s="300" t="s">
        <v>14</v>
      </c>
      <c r="B137" t="s">
        <v>3310</v>
      </c>
      <c r="C137" t="s">
        <v>3311</v>
      </c>
      <c r="D137" t="s">
        <v>3349</v>
      </c>
      <c r="E137" t="s">
        <v>3350</v>
      </c>
      <c r="F137" t="s">
        <v>3022</v>
      </c>
      <c r="G137" t="s">
        <v>3351</v>
      </c>
    </row>
    <row r="138" spans="1:7" ht="11.25" customHeight="1">
      <c r="A138" s="300" t="s">
        <v>14</v>
      </c>
      <c r="B138" t="s">
        <v>3352</v>
      </c>
      <c r="C138" t="s">
        <v>3353</v>
      </c>
      <c r="D138" t="s">
        <v>3354</v>
      </c>
      <c r="E138" t="s">
        <v>3355</v>
      </c>
      <c r="F138" t="s">
        <v>3006</v>
      </c>
      <c r="G138" t="s">
        <v>3356</v>
      </c>
    </row>
    <row r="139" spans="1:7" ht="11.25" customHeight="1">
      <c r="A139" s="300" t="s">
        <v>14</v>
      </c>
      <c r="B139" t="s">
        <v>3352</v>
      </c>
      <c r="C139" t="s">
        <v>3353</v>
      </c>
      <c r="D139" t="s">
        <v>3357</v>
      </c>
      <c r="E139" t="s">
        <v>3358</v>
      </c>
      <c r="F139" t="s">
        <v>3006</v>
      </c>
      <c r="G139" t="s">
        <v>3359</v>
      </c>
    </row>
    <row r="140" spans="1:7" ht="11.25" customHeight="1">
      <c r="A140" s="300" t="s">
        <v>14</v>
      </c>
      <c r="B140" t="s">
        <v>3352</v>
      </c>
      <c r="C140" t="s">
        <v>3353</v>
      </c>
      <c r="D140" t="s">
        <v>3360</v>
      </c>
      <c r="E140" t="s">
        <v>3361</v>
      </c>
      <c r="F140" t="s">
        <v>3006</v>
      </c>
      <c r="G140" t="s">
        <v>3362</v>
      </c>
    </row>
    <row r="141" spans="1:7" ht="11.25" customHeight="1">
      <c r="A141" s="300" t="s">
        <v>14</v>
      </c>
      <c r="B141" t="s">
        <v>3352</v>
      </c>
      <c r="C141" t="s">
        <v>3353</v>
      </c>
      <c r="D141" t="s">
        <v>3065</v>
      </c>
      <c r="E141" t="s">
        <v>3363</v>
      </c>
      <c r="F141" t="s">
        <v>3006</v>
      </c>
      <c r="G141" t="s">
        <v>3364</v>
      </c>
    </row>
    <row r="142" spans="1:7" ht="11.25" customHeight="1">
      <c r="A142" s="300" t="s">
        <v>14</v>
      </c>
      <c r="B142" t="s">
        <v>3352</v>
      </c>
      <c r="C142" t="s">
        <v>3353</v>
      </c>
      <c r="D142" t="s">
        <v>3365</v>
      </c>
      <c r="E142" t="s">
        <v>3366</v>
      </c>
      <c r="F142" t="s">
        <v>3006</v>
      </c>
      <c r="G142" t="s">
        <v>3367</v>
      </c>
    </row>
    <row r="143" spans="1:7" ht="11.25" customHeight="1">
      <c r="A143" s="300" t="s">
        <v>14</v>
      </c>
      <c r="B143" t="s">
        <v>3352</v>
      </c>
      <c r="C143" t="s">
        <v>3353</v>
      </c>
      <c r="D143" t="s">
        <v>3352</v>
      </c>
      <c r="E143" t="s">
        <v>3353</v>
      </c>
      <c r="F143" t="s">
        <v>3007</v>
      </c>
      <c r="G143" t="s">
        <v>3368</v>
      </c>
    </row>
    <row r="144" spans="1:7" ht="11.25" customHeight="1">
      <c r="A144" s="300" t="s">
        <v>14</v>
      </c>
      <c r="B144" t="s">
        <v>3352</v>
      </c>
      <c r="C144" t="s">
        <v>3353</v>
      </c>
      <c r="D144" t="s">
        <v>3369</v>
      </c>
      <c r="E144" t="s">
        <v>3370</v>
      </c>
      <c r="F144" t="s">
        <v>3006</v>
      </c>
      <c r="G144" t="s">
        <v>3371</v>
      </c>
    </row>
    <row r="145" spans="1:7" ht="11.25" customHeight="1">
      <c r="A145" s="300" t="s">
        <v>14</v>
      </c>
      <c r="B145" t="s">
        <v>3352</v>
      </c>
      <c r="C145" t="s">
        <v>3353</v>
      </c>
      <c r="D145" t="s">
        <v>3372</v>
      </c>
      <c r="E145" t="s">
        <v>3373</v>
      </c>
      <c r="F145" t="s">
        <v>3006</v>
      </c>
      <c r="G145" t="s">
        <v>3374</v>
      </c>
    </row>
    <row r="146" spans="1:7" ht="11.25" customHeight="1">
      <c r="A146" s="300" t="s">
        <v>14</v>
      </c>
      <c r="B146" t="s">
        <v>3352</v>
      </c>
      <c r="C146" t="s">
        <v>3353</v>
      </c>
      <c r="D146" t="s">
        <v>3375</v>
      </c>
      <c r="E146" t="s">
        <v>3376</v>
      </c>
      <c r="F146" t="s">
        <v>3006</v>
      </c>
      <c r="G146" t="s">
        <v>3377</v>
      </c>
    </row>
    <row r="147" spans="1:7" ht="11.25" customHeight="1">
      <c r="A147" s="300" t="s">
        <v>14</v>
      </c>
      <c r="B147" t="s">
        <v>3352</v>
      </c>
      <c r="C147" t="s">
        <v>3353</v>
      </c>
      <c r="D147" t="s">
        <v>3378</v>
      </c>
      <c r="E147" t="s">
        <v>3379</v>
      </c>
      <c r="F147" t="s">
        <v>3006</v>
      </c>
      <c r="G147" t="s">
        <v>3380</v>
      </c>
    </row>
    <row r="148" spans="1:7" ht="11.25" customHeight="1">
      <c r="A148" s="300" t="s">
        <v>14</v>
      </c>
      <c r="B148" t="s">
        <v>3352</v>
      </c>
      <c r="C148" t="s">
        <v>3353</v>
      </c>
      <c r="D148" t="s">
        <v>3381</v>
      </c>
      <c r="E148" t="s">
        <v>3382</v>
      </c>
      <c r="F148" t="s">
        <v>3006</v>
      </c>
      <c r="G148" t="s">
        <v>3383</v>
      </c>
    </row>
    <row r="149" spans="1:7" ht="11.25" customHeight="1">
      <c r="A149" s="300" t="s">
        <v>14</v>
      </c>
      <c r="B149" t="s">
        <v>3352</v>
      </c>
      <c r="C149" t="s">
        <v>3353</v>
      </c>
      <c r="D149" t="s">
        <v>3384</v>
      </c>
      <c r="E149" t="s">
        <v>3385</v>
      </c>
      <c r="F149" t="s">
        <v>3006</v>
      </c>
      <c r="G149" t="s">
        <v>3386</v>
      </c>
    </row>
    <row r="150" spans="1:7" ht="11.25" customHeight="1">
      <c r="A150" s="300" t="s">
        <v>14</v>
      </c>
      <c r="B150" t="s">
        <v>3387</v>
      </c>
      <c r="C150" t="s">
        <v>3388</v>
      </c>
      <c r="D150" t="s">
        <v>3389</v>
      </c>
      <c r="E150" t="s">
        <v>3390</v>
      </c>
      <c r="F150" t="s">
        <v>3006</v>
      </c>
      <c r="G150" t="s">
        <v>3391</v>
      </c>
    </row>
    <row r="151" spans="1:7" ht="11.25" customHeight="1">
      <c r="A151" s="300" t="s">
        <v>14</v>
      </c>
      <c r="B151" t="s">
        <v>3387</v>
      </c>
      <c r="C151" t="s">
        <v>3388</v>
      </c>
      <c r="D151" t="s">
        <v>3392</v>
      </c>
      <c r="E151" t="s">
        <v>3393</v>
      </c>
      <c r="F151" t="s">
        <v>3006</v>
      </c>
      <c r="G151" t="s">
        <v>3394</v>
      </c>
    </row>
    <row r="152" spans="1:7" ht="11.25" customHeight="1">
      <c r="A152" s="300" t="s">
        <v>14</v>
      </c>
      <c r="B152" t="s">
        <v>3387</v>
      </c>
      <c r="C152" t="s">
        <v>3388</v>
      </c>
      <c r="D152" t="s">
        <v>3395</v>
      </c>
      <c r="E152" t="s">
        <v>3396</v>
      </c>
      <c r="F152" t="s">
        <v>3006</v>
      </c>
      <c r="G152" t="s">
        <v>3397</v>
      </c>
    </row>
    <row r="153" spans="1:7" ht="11.25" customHeight="1">
      <c r="A153" s="300" t="s">
        <v>14</v>
      </c>
      <c r="B153" t="s">
        <v>3387</v>
      </c>
      <c r="C153" t="s">
        <v>3388</v>
      </c>
      <c r="D153" t="s">
        <v>3398</v>
      </c>
      <c r="E153" t="s">
        <v>3399</v>
      </c>
      <c r="F153" t="s">
        <v>3006</v>
      </c>
      <c r="G153" t="s">
        <v>3400</v>
      </c>
    </row>
    <row r="154" spans="1:7" ht="11.25" customHeight="1">
      <c r="A154" s="300" t="s">
        <v>14</v>
      </c>
      <c r="B154" t="s">
        <v>3387</v>
      </c>
      <c r="C154" t="s">
        <v>3388</v>
      </c>
      <c r="D154" t="s">
        <v>3401</v>
      </c>
      <c r="E154" t="s">
        <v>3402</v>
      </c>
      <c r="F154" t="s">
        <v>3006</v>
      </c>
      <c r="G154" t="s">
        <v>3403</v>
      </c>
    </row>
    <row r="155" spans="1:7" ht="11.25" customHeight="1">
      <c r="A155" s="300" t="s">
        <v>14</v>
      </c>
      <c r="B155" t="s">
        <v>3387</v>
      </c>
      <c r="C155" t="s">
        <v>3388</v>
      </c>
      <c r="D155" t="s">
        <v>3387</v>
      </c>
      <c r="E155" t="s">
        <v>3388</v>
      </c>
      <c r="F155" t="s">
        <v>3007</v>
      </c>
      <c r="G155" t="s">
        <v>3404</v>
      </c>
    </row>
    <row r="156" spans="1:7" ht="11.25" customHeight="1">
      <c r="A156" s="300" t="s">
        <v>14</v>
      </c>
      <c r="B156" t="s">
        <v>3387</v>
      </c>
      <c r="C156" t="s">
        <v>3388</v>
      </c>
      <c r="D156" t="s">
        <v>3405</v>
      </c>
      <c r="E156" t="s">
        <v>3406</v>
      </c>
      <c r="F156" t="s">
        <v>3006</v>
      </c>
      <c r="G156" t="s">
        <v>3407</v>
      </c>
    </row>
    <row r="157" spans="1:7" ht="11.25" customHeight="1">
      <c r="A157" s="300" t="s">
        <v>14</v>
      </c>
      <c r="B157" t="s">
        <v>3387</v>
      </c>
      <c r="C157" t="s">
        <v>3388</v>
      </c>
      <c r="D157" t="s">
        <v>3408</v>
      </c>
      <c r="E157" t="s">
        <v>3409</v>
      </c>
      <c r="F157" t="s">
        <v>3022</v>
      </c>
      <c r="G157" t="s">
        <v>3410</v>
      </c>
    </row>
    <row r="158" spans="1:7" ht="11.25" customHeight="1">
      <c r="A158" s="300" t="s">
        <v>14</v>
      </c>
      <c r="B158" t="s">
        <v>3387</v>
      </c>
      <c r="C158" t="s">
        <v>3388</v>
      </c>
      <c r="D158" t="s">
        <v>3411</v>
      </c>
      <c r="E158" t="s">
        <v>3412</v>
      </c>
      <c r="F158" t="s">
        <v>3006</v>
      </c>
      <c r="G158" t="s">
        <v>3413</v>
      </c>
    </row>
    <row r="159" spans="1:7" ht="11.25" customHeight="1">
      <c r="A159" s="300" t="s">
        <v>14</v>
      </c>
      <c r="B159" t="s">
        <v>3387</v>
      </c>
      <c r="C159" t="s">
        <v>3388</v>
      </c>
      <c r="D159" t="s">
        <v>3096</v>
      </c>
      <c r="E159" t="s">
        <v>3414</v>
      </c>
      <c r="F159" t="s">
        <v>3006</v>
      </c>
      <c r="G159" t="s">
        <v>3415</v>
      </c>
    </row>
    <row r="160" spans="1:7" ht="11.25" customHeight="1">
      <c r="A160" s="300" t="s">
        <v>14</v>
      </c>
      <c r="B160" t="s">
        <v>3387</v>
      </c>
      <c r="C160" t="s">
        <v>3388</v>
      </c>
      <c r="D160" t="s">
        <v>3416</v>
      </c>
      <c r="E160" t="s">
        <v>3417</v>
      </c>
      <c r="F160" t="s">
        <v>3006</v>
      </c>
      <c r="G160" t="s">
        <v>3418</v>
      </c>
    </row>
    <row r="161" spans="1:7" ht="11.25" customHeight="1">
      <c r="A161" s="300" t="s">
        <v>14</v>
      </c>
      <c r="B161" t="s">
        <v>3419</v>
      </c>
      <c r="C161" t="s">
        <v>3420</v>
      </c>
      <c r="D161" t="s">
        <v>3421</v>
      </c>
      <c r="E161" t="s">
        <v>3422</v>
      </c>
      <c r="F161" t="s">
        <v>3006</v>
      </c>
      <c r="G161" t="s">
        <v>3423</v>
      </c>
    </row>
    <row r="162" spans="1:7" ht="11.25" customHeight="1">
      <c r="A162" s="300" t="s">
        <v>14</v>
      </c>
      <c r="B162" t="s">
        <v>3419</v>
      </c>
      <c r="C162" t="s">
        <v>3420</v>
      </c>
      <c r="D162" t="s">
        <v>3424</v>
      </c>
      <c r="E162" t="s">
        <v>3425</v>
      </c>
      <c r="F162" t="s">
        <v>3006</v>
      </c>
      <c r="G162" t="s">
        <v>3426</v>
      </c>
    </row>
    <row r="163" spans="1:7" ht="11.25" customHeight="1">
      <c r="A163" s="300" t="s">
        <v>14</v>
      </c>
      <c r="B163" t="s">
        <v>3419</v>
      </c>
      <c r="C163" t="s">
        <v>3420</v>
      </c>
      <c r="D163" t="s">
        <v>3016</v>
      </c>
      <c r="E163" t="s">
        <v>3427</v>
      </c>
      <c r="F163" t="s">
        <v>3006</v>
      </c>
      <c r="G163" t="s">
        <v>3428</v>
      </c>
    </row>
    <row r="164" spans="1:7" ht="11.25" customHeight="1">
      <c r="A164" s="300" t="s">
        <v>14</v>
      </c>
      <c r="B164" t="s">
        <v>3419</v>
      </c>
      <c r="C164" t="s">
        <v>3420</v>
      </c>
      <c r="D164" t="s">
        <v>3429</v>
      </c>
      <c r="E164" t="s">
        <v>3430</v>
      </c>
      <c r="F164" t="s">
        <v>3006</v>
      </c>
      <c r="G164" t="s">
        <v>3431</v>
      </c>
    </row>
    <row r="165" spans="1:7" ht="11.25" customHeight="1">
      <c r="A165" s="300" t="s">
        <v>14</v>
      </c>
      <c r="B165" t="s">
        <v>3419</v>
      </c>
      <c r="C165" t="s">
        <v>3420</v>
      </c>
      <c r="D165" t="s">
        <v>3419</v>
      </c>
      <c r="E165" t="s">
        <v>3420</v>
      </c>
      <c r="F165" t="s">
        <v>3007</v>
      </c>
      <c r="G165" t="s">
        <v>3432</v>
      </c>
    </row>
    <row r="166" spans="1:7" ht="11.25" customHeight="1">
      <c r="A166" s="300" t="s">
        <v>14</v>
      </c>
      <c r="B166" t="s">
        <v>3419</v>
      </c>
      <c r="C166" t="s">
        <v>3420</v>
      </c>
      <c r="D166" t="s">
        <v>3433</v>
      </c>
      <c r="E166" t="s">
        <v>3434</v>
      </c>
      <c r="F166" t="s">
        <v>3006</v>
      </c>
      <c r="G166" t="s">
        <v>3435</v>
      </c>
    </row>
    <row r="167" spans="1:7" ht="11.25" customHeight="1">
      <c r="A167" s="300" t="s">
        <v>14</v>
      </c>
      <c r="B167" t="s">
        <v>3419</v>
      </c>
      <c r="C167" t="s">
        <v>3420</v>
      </c>
      <c r="D167" t="s">
        <v>3436</v>
      </c>
      <c r="E167" t="s">
        <v>3437</v>
      </c>
      <c r="F167" t="s">
        <v>3006</v>
      </c>
      <c r="G167" t="s">
        <v>3438</v>
      </c>
    </row>
    <row r="168" spans="1:7" ht="11.25" customHeight="1">
      <c r="A168" s="300" t="s">
        <v>14</v>
      </c>
      <c r="B168" t="s">
        <v>3439</v>
      </c>
      <c r="C168" t="s">
        <v>3440</v>
      </c>
      <c r="D168" t="s">
        <v>3441</v>
      </c>
      <c r="E168" t="s">
        <v>3442</v>
      </c>
      <c r="F168" t="s">
        <v>3006</v>
      </c>
      <c r="G168" t="s">
        <v>3443</v>
      </c>
    </row>
    <row r="169" spans="1:7" ht="11.25" customHeight="1">
      <c r="A169" s="300" t="s">
        <v>14</v>
      </c>
      <c r="B169" t="s">
        <v>3439</v>
      </c>
      <c r="C169" t="s">
        <v>3440</v>
      </c>
      <c r="D169" t="s">
        <v>3444</v>
      </c>
      <c r="E169" t="s">
        <v>3445</v>
      </c>
      <c r="F169" t="s">
        <v>3006</v>
      </c>
      <c r="G169" t="s">
        <v>3446</v>
      </c>
    </row>
    <row r="170" spans="1:7" ht="11.25" customHeight="1">
      <c r="A170" s="300" t="s">
        <v>14</v>
      </c>
      <c r="B170" t="s">
        <v>3439</v>
      </c>
      <c r="C170" t="s">
        <v>3440</v>
      </c>
      <c r="D170" t="s">
        <v>3447</v>
      </c>
      <c r="E170" t="s">
        <v>3448</v>
      </c>
      <c r="F170" t="s">
        <v>3006</v>
      </c>
      <c r="G170" t="s">
        <v>3449</v>
      </c>
    </row>
    <row r="171" spans="1:7" ht="11.25" customHeight="1">
      <c r="A171" s="300" t="s">
        <v>14</v>
      </c>
      <c r="B171" t="s">
        <v>3439</v>
      </c>
      <c r="C171" t="s">
        <v>3440</v>
      </c>
      <c r="D171" t="s">
        <v>3439</v>
      </c>
      <c r="E171" t="s">
        <v>3440</v>
      </c>
      <c r="F171" t="s">
        <v>3007</v>
      </c>
      <c r="G171" t="s">
        <v>3450</v>
      </c>
    </row>
    <row r="172" spans="1:7" ht="11.25" customHeight="1">
      <c r="A172" s="300" t="s">
        <v>14</v>
      </c>
      <c r="B172" t="s">
        <v>3439</v>
      </c>
      <c r="C172" t="s">
        <v>3440</v>
      </c>
      <c r="D172" t="s">
        <v>3451</v>
      </c>
      <c r="E172" t="s">
        <v>3452</v>
      </c>
      <c r="F172" t="s">
        <v>3006</v>
      </c>
      <c r="G172" t="s">
        <v>3453</v>
      </c>
    </row>
    <row r="173" spans="1:7" ht="11.25" customHeight="1">
      <c r="A173" s="300" t="s">
        <v>14</v>
      </c>
      <c r="B173" t="s">
        <v>3439</v>
      </c>
      <c r="C173" t="s">
        <v>3440</v>
      </c>
      <c r="D173" t="s">
        <v>3454</v>
      </c>
      <c r="E173" t="s">
        <v>3455</v>
      </c>
      <c r="F173" t="s">
        <v>3006</v>
      </c>
      <c r="G173" t="s">
        <v>3456</v>
      </c>
    </row>
    <row r="174" spans="1:7" ht="11.25" customHeight="1">
      <c r="A174" s="300" t="s">
        <v>14</v>
      </c>
      <c r="B174" t="s">
        <v>3439</v>
      </c>
      <c r="C174" t="s">
        <v>3440</v>
      </c>
      <c r="D174" t="s">
        <v>3457</v>
      </c>
      <c r="E174" t="s">
        <v>3458</v>
      </c>
      <c r="F174" t="s">
        <v>3022</v>
      </c>
      <c r="G174" t="s">
        <v>3459</v>
      </c>
    </row>
    <row r="175" spans="1:7" ht="11.25" customHeight="1">
      <c r="A175" s="300" t="s">
        <v>14</v>
      </c>
      <c r="B175" t="s">
        <v>3439</v>
      </c>
      <c r="C175" t="s">
        <v>3440</v>
      </c>
      <c r="D175" t="s">
        <v>3460</v>
      </c>
      <c r="E175" t="s">
        <v>3461</v>
      </c>
      <c r="F175" t="s">
        <v>3006</v>
      </c>
      <c r="G175" t="s">
        <v>3462</v>
      </c>
    </row>
    <row r="176" spans="1:7" ht="11.25" customHeight="1">
      <c r="A176" s="300" t="s">
        <v>14</v>
      </c>
      <c r="B176" t="s">
        <v>3439</v>
      </c>
      <c r="C176" t="s">
        <v>3440</v>
      </c>
      <c r="D176" t="s">
        <v>3463</v>
      </c>
      <c r="E176" t="s">
        <v>3464</v>
      </c>
      <c r="F176" t="s">
        <v>3006</v>
      </c>
      <c r="G176" t="s">
        <v>3465</v>
      </c>
    </row>
    <row r="177" spans="1:7" ht="11.25" customHeight="1">
      <c r="A177" s="300" t="s">
        <v>14</v>
      </c>
      <c r="B177" t="s">
        <v>3439</v>
      </c>
      <c r="C177" t="s">
        <v>3440</v>
      </c>
      <c r="D177" t="s">
        <v>3466</v>
      </c>
      <c r="E177" t="s">
        <v>3467</v>
      </c>
      <c r="F177" t="s">
        <v>3006</v>
      </c>
      <c r="G177" t="s">
        <v>3468</v>
      </c>
    </row>
    <row r="178" spans="1:7" ht="11.25" customHeight="1">
      <c r="A178" s="300" t="s">
        <v>14</v>
      </c>
      <c r="B178" t="s">
        <v>3439</v>
      </c>
      <c r="C178" t="s">
        <v>3440</v>
      </c>
      <c r="D178" t="s">
        <v>3469</v>
      </c>
      <c r="E178" t="s">
        <v>3470</v>
      </c>
      <c r="F178" t="s">
        <v>3006</v>
      </c>
      <c r="G178" t="s">
        <v>3471</v>
      </c>
    </row>
    <row r="179" spans="1:7" ht="11.25" customHeight="1">
      <c r="A179" s="300" t="s">
        <v>14</v>
      </c>
      <c r="B179" t="s">
        <v>3439</v>
      </c>
      <c r="C179" t="s">
        <v>3440</v>
      </c>
      <c r="D179" t="s">
        <v>3472</v>
      </c>
      <c r="E179" t="s">
        <v>3473</v>
      </c>
      <c r="F179" t="s">
        <v>3006</v>
      </c>
      <c r="G179" t="s">
        <v>3474</v>
      </c>
    </row>
    <row r="180" spans="1:7" ht="11.25" customHeight="1">
      <c r="A180" s="300" t="s">
        <v>14</v>
      </c>
      <c r="B180" t="s">
        <v>3439</v>
      </c>
      <c r="C180" t="s">
        <v>3440</v>
      </c>
      <c r="D180" t="s">
        <v>3475</v>
      </c>
      <c r="E180" t="s">
        <v>3476</v>
      </c>
      <c r="F180" t="s">
        <v>3006</v>
      </c>
      <c r="G180" t="s">
        <v>3477</v>
      </c>
    </row>
    <row r="181" spans="1:7" ht="11.25" customHeight="1">
      <c r="A181" s="300" t="s">
        <v>14</v>
      </c>
      <c r="B181" t="s">
        <v>3439</v>
      </c>
      <c r="C181" t="s">
        <v>3440</v>
      </c>
      <c r="D181" t="s">
        <v>3478</v>
      </c>
      <c r="E181" t="s">
        <v>3479</v>
      </c>
      <c r="F181" t="s">
        <v>3006</v>
      </c>
      <c r="G181" t="s">
        <v>3480</v>
      </c>
    </row>
    <row r="182" spans="1:7" ht="11.25" customHeight="1">
      <c r="A182" s="300" t="s">
        <v>14</v>
      </c>
      <c r="B182" t="s">
        <v>3481</v>
      </c>
      <c r="C182" t="s">
        <v>3482</v>
      </c>
      <c r="D182" t="s">
        <v>3483</v>
      </c>
      <c r="E182" t="s">
        <v>3484</v>
      </c>
      <c r="F182" t="s">
        <v>3006</v>
      </c>
      <c r="G182" t="s">
        <v>3485</v>
      </c>
    </row>
    <row r="183" spans="1:7" ht="11.25" customHeight="1">
      <c r="A183" s="300" t="s">
        <v>14</v>
      </c>
      <c r="B183" t="s">
        <v>3481</v>
      </c>
      <c r="C183" t="s">
        <v>3482</v>
      </c>
      <c r="D183" t="s">
        <v>3486</v>
      </c>
      <c r="E183" t="s">
        <v>3487</v>
      </c>
      <c r="F183" t="s">
        <v>3006</v>
      </c>
      <c r="G183" t="s">
        <v>3488</v>
      </c>
    </row>
    <row r="184" spans="1:7" ht="11.25" customHeight="1">
      <c r="A184" s="300" t="s">
        <v>14</v>
      </c>
      <c r="B184" t="s">
        <v>3481</v>
      </c>
      <c r="C184" t="s">
        <v>3482</v>
      </c>
      <c r="D184" t="s">
        <v>3489</v>
      </c>
      <c r="E184" t="s">
        <v>3490</v>
      </c>
      <c r="F184" t="s">
        <v>3006</v>
      </c>
      <c r="G184" t="s">
        <v>3491</v>
      </c>
    </row>
    <row r="185" spans="1:7" ht="11.25" customHeight="1">
      <c r="A185" s="300" t="s">
        <v>14</v>
      </c>
      <c r="B185" t="s">
        <v>3481</v>
      </c>
      <c r="C185" t="s">
        <v>3482</v>
      </c>
      <c r="D185" t="s">
        <v>3492</v>
      </c>
      <c r="E185" t="s">
        <v>3493</v>
      </c>
      <c r="F185" t="s">
        <v>3006</v>
      </c>
      <c r="G185" t="s">
        <v>3494</v>
      </c>
    </row>
    <row r="186" spans="1:7" ht="11.25" customHeight="1">
      <c r="A186" s="300" t="s">
        <v>14</v>
      </c>
      <c r="B186" t="s">
        <v>3481</v>
      </c>
      <c r="C186" t="s">
        <v>3482</v>
      </c>
      <c r="D186" t="s">
        <v>3495</v>
      </c>
      <c r="E186" t="s">
        <v>3496</v>
      </c>
      <c r="F186" t="s">
        <v>3006</v>
      </c>
      <c r="G186" t="s">
        <v>3497</v>
      </c>
    </row>
    <row r="187" spans="1:7" ht="11.25" customHeight="1">
      <c r="A187" s="300" t="s">
        <v>14</v>
      </c>
      <c r="B187" t="s">
        <v>3481</v>
      </c>
      <c r="C187" t="s">
        <v>3482</v>
      </c>
      <c r="D187" t="s">
        <v>3498</v>
      </c>
      <c r="E187" t="s">
        <v>3499</v>
      </c>
      <c r="F187" t="s">
        <v>3006</v>
      </c>
      <c r="G187" t="s">
        <v>3500</v>
      </c>
    </row>
    <row r="188" spans="1:7" ht="11.25" customHeight="1">
      <c r="A188" s="300" t="s">
        <v>14</v>
      </c>
      <c r="B188" t="s">
        <v>3481</v>
      </c>
      <c r="C188" t="s">
        <v>3482</v>
      </c>
      <c r="D188" t="s">
        <v>3481</v>
      </c>
      <c r="E188" t="s">
        <v>3482</v>
      </c>
      <c r="F188" t="s">
        <v>3007</v>
      </c>
      <c r="G188" t="s">
        <v>3501</v>
      </c>
    </row>
    <row r="189" spans="1:7" ht="11.25" customHeight="1">
      <c r="A189" s="300" t="s">
        <v>14</v>
      </c>
      <c r="B189" t="s">
        <v>3481</v>
      </c>
      <c r="C189" t="s">
        <v>3482</v>
      </c>
      <c r="D189" t="s">
        <v>3502</v>
      </c>
      <c r="E189" t="s">
        <v>3503</v>
      </c>
      <c r="F189" t="s">
        <v>3006</v>
      </c>
      <c r="G189" t="s">
        <v>3504</v>
      </c>
    </row>
    <row r="190" spans="1:7" ht="11.25" customHeight="1">
      <c r="A190" s="300" t="s">
        <v>14</v>
      </c>
      <c r="B190" t="s">
        <v>3481</v>
      </c>
      <c r="C190" t="s">
        <v>3482</v>
      </c>
      <c r="D190" t="s">
        <v>3505</v>
      </c>
      <c r="E190" t="s">
        <v>3506</v>
      </c>
      <c r="F190" t="s">
        <v>3006</v>
      </c>
      <c r="G190" t="s">
        <v>3507</v>
      </c>
    </row>
    <row r="191" spans="1:7" ht="11.25" customHeight="1">
      <c r="A191" s="300" t="s">
        <v>14</v>
      </c>
      <c r="B191" t="s">
        <v>3481</v>
      </c>
      <c r="C191" t="s">
        <v>3482</v>
      </c>
      <c r="D191" t="s">
        <v>3508</v>
      </c>
      <c r="E191" t="s">
        <v>3509</v>
      </c>
      <c r="F191" t="s">
        <v>3006</v>
      </c>
      <c r="G191" t="s">
        <v>3510</v>
      </c>
    </row>
    <row r="192" spans="1:7" ht="11.25" customHeight="1">
      <c r="A192" s="300" t="s">
        <v>14</v>
      </c>
      <c r="B192" t="s">
        <v>3481</v>
      </c>
      <c r="C192" t="s">
        <v>3482</v>
      </c>
      <c r="D192" t="s">
        <v>3511</v>
      </c>
      <c r="E192" t="s">
        <v>3512</v>
      </c>
      <c r="F192" t="s">
        <v>3006</v>
      </c>
      <c r="G192" t="s">
        <v>3513</v>
      </c>
    </row>
    <row r="193" spans="1:7" ht="11.25" customHeight="1">
      <c r="A193" s="300" t="s">
        <v>14</v>
      </c>
      <c r="B193" t="s">
        <v>3481</v>
      </c>
      <c r="C193" t="s">
        <v>3482</v>
      </c>
      <c r="D193" t="s">
        <v>3514</v>
      </c>
      <c r="E193" t="s">
        <v>3515</v>
      </c>
      <c r="F193" t="s">
        <v>3006</v>
      </c>
      <c r="G193" t="s">
        <v>3516</v>
      </c>
    </row>
    <row r="194" spans="1:7" ht="11.25" customHeight="1">
      <c r="A194" s="300" t="s">
        <v>14</v>
      </c>
      <c r="B194" t="s">
        <v>3481</v>
      </c>
      <c r="C194" t="s">
        <v>3482</v>
      </c>
      <c r="D194" t="s">
        <v>3517</v>
      </c>
      <c r="E194" t="s">
        <v>3518</v>
      </c>
      <c r="F194" t="s">
        <v>3006</v>
      </c>
      <c r="G194" t="s">
        <v>3519</v>
      </c>
    </row>
    <row r="195" spans="1:7" ht="11.25" customHeight="1">
      <c r="A195" s="300" t="s">
        <v>14</v>
      </c>
      <c r="B195" t="s">
        <v>3481</v>
      </c>
      <c r="C195" t="s">
        <v>3482</v>
      </c>
      <c r="D195" t="s">
        <v>3520</v>
      </c>
      <c r="E195" t="s">
        <v>3521</v>
      </c>
      <c r="F195" t="s">
        <v>3006</v>
      </c>
      <c r="G195" t="s">
        <v>3522</v>
      </c>
    </row>
    <row r="196" spans="1:7" ht="11.25" customHeight="1">
      <c r="A196" s="300" t="s">
        <v>14</v>
      </c>
      <c r="B196" t="s">
        <v>3523</v>
      </c>
      <c r="C196" t="s">
        <v>3524</v>
      </c>
      <c r="D196" t="s">
        <v>3525</v>
      </c>
      <c r="E196" t="s">
        <v>3526</v>
      </c>
      <c r="F196" t="s">
        <v>3006</v>
      </c>
      <c r="G196" t="s">
        <v>3527</v>
      </c>
    </row>
    <row r="197" spans="1:7" ht="11.25" customHeight="1">
      <c r="A197" s="300" t="s">
        <v>14</v>
      </c>
      <c r="B197" t="s">
        <v>3523</v>
      </c>
      <c r="C197" t="s">
        <v>3524</v>
      </c>
      <c r="D197" t="s">
        <v>3282</v>
      </c>
      <c r="E197" t="s">
        <v>3528</v>
      </c>
      <c r="F197" t="s">
        <v>3006</v>
      </c>
      <c r="G197" t="s">
        <v>3529</v>
      </c>
    </row>
    <row r="198" spans="1:7" ht="11.25" customHeight="1">
      <c r="A198" s="300" t="s">
        <v>14</v>
      </c>
      <c r="B198" t="s">
        <v>3523</v>
      </c>
      <c r="C198" t="s">
        <v>3524</v>
      </c>
      <c r="D198" t="s">
        <v>3530</v>
      </c>
      <c r="E198" t="s">
        <v>3531</v>
      </c>
      <c r="F198" t="s">
        <v>3006</v>
      </c>
      <c r="G198" t="s">
        <v>3532</v>
      </c>
    </row>
    <row r="199" spans="1:7" ht="11.25" customHeight="1">
      <c r="A199" s="300" t="s">
        <v>14</v>
      </c>
      <c r="B199" t="s">
        <v>3523</v>
      </c>
      <c r="C199" t="s">
        <v>3524</v>
      </c>
      <c r="D199" t="s">
        <v>3533</v>
      </c>
      <c r="E199" t="s">
        <v>3534</v>
      </c>
      <c r="F199" t="s">
        <v>3006</v>
      </c>
      <c r="G199" t="s">
        <v>3535</v>
      </c>
    </row>
    <row r="200" spans="1:7" ht="11.25" customHeight="1">
      <c r="A200" s="300" t="s">
        <v>14</v>
      </c>
      <c r="B200" t="s">
        <v>3523</v>
      </c>
      <c r="C200" t="s">
        <v>3524</v>
      </c>
      <c r="D200" t="s">
        <v>3536</v>
      </c>
      <c r="E200" t="s">
        <v>3537</v>
      </c>
      <c r="F200" t="s">
        <v>3006</v>
      </c>
      <c r="G200" t="s">
        <v>3538</v>
      </c>
    </row>
    <row r="201" spans="1:7" ht="11.25" customHeight="1">
      <c r="A201" s="300" t="s">
        <v>14</v>
      </c>
      <c r="B201" t="s">
        <v>3523</v>
      </c>
      <c r="C201" t="s">
        <v>3524</v>
      </c>
      <c r="D201" t="s">
        <v>3539</v>
      </c>
      <c r="E201" t="s">
        <v>3540</v>
      </c>
      <c r="F201" t="s">
        <v>3006</v>
      </c>
      <c r="G201" t="s">
        <v>3541</v>
      </c>
    </row>
    <row r="202" spans="1:7" ht="11.25" customHeight="1">
      <c r="A202" s="300" t="s">
        <v>14</v>
      </c>
      <c r="B202" t="s">
        <v>3523</v>
      </c>
      <c r="C202" t="s">
        <v>3524</v>
      </c>
      <c r="D202" t="s">
        <v>3542</v>
      </c>
      <c r="E202" t="s">
        <v>3543</v>
      </c>
      <c r="F202" t="s">
        <v>3006</v>
      </c>
      <c r="G202" t="s">
        <v>3544</v>
      </c>
    </row>
    <row r="203" spans="1:7" ht="11.25" customHeight="1">
      <c r="A203" s="300" t="s">
        <v>14</v>
      </c>
      <c r="B203" t="s">
        <v>3523</v>
      </c>
      <c r="C203" t="s">
        <v>3524</v>
      </c>
      <c r="D203" t="s">
        <v>3545</v>
      </c>
      <c r="E203" t="s">
        <v>3546</v>
      </c>
      <c r="F203" t="s">
        <v>3006</v>
      </c>
      <c r="G203" t="s">
        <v>3547</v>
      </c>
    </row>
    <row r="204" spans="1:7" ht="11.25" customHeight="1">
      <c r="A204" s="300" t="s">
        <v>14</v>
      </c>
      <c r="B204" t="s">
        <v>3523</v>
      </c>
      <c r="C204" t="s">
        <v>3524</v>
      </c>
      <c r="D204" t="s">
        <v>3548</v>
      </c>
      <c r="E204" t="s">
        <v>3549</v>
      </c>
      <c r="F204" t="s">
        <v>3006</v>
      </c>
      <c r="G204" t="s">
        <v>3550</v>
      </c>
    </row>
    <row r="205" spans="1:7" ht="11.25" customHeight="1">
      <c r="A205" s="300" t="s">
        <v>14</v>
      </c>
      <c r="B205" t="s">
        <v>3523</v>
      </c>
      <c r="C205" t="s">
        <v>3524</v>
      </c>
      <c r="D205" t="s">
        <v>3551</v>
      </c>
      <c r="E205" t="s">
        <v>3552</v>
      </c>
      <c r="F205" t="s">
        <v>3006</v>
      </c>
      <c r="G205" t="s">
        <v>3553</v>
      </c>
    </row>
    <row r="206" spans="1:7" ht="11.25" customHeight="1">
      <c r="A206" s="300" t="s">
        <v>14</v>
      </c>
      <c r="B206" t="s">
        <v>3523</v>
      </c>
      <c r="C206" t="s">
        <v>3524</v>
      </c>
      <c r="D206" t="s">
        <v>3523</v>
      </c>
      <c r="E206" t="s">
        <v>3524</v>
      </c>
      <c r="F206" t="s">
        <v>3007</v>
      </c>
      <c r="G206" t="s">
        <v>3554</v>
      </c>
    </row>
    <row r="207" spans="1:7" ht="11.25" customHeight="1">
      <c r="A207" s="300" t="s">
        <v>14</v>
      </c>
      <c r="B207" t="s">
        <v>3523</v>
      </c>
      <c r="C207" t="s">
        <v>3524</v>
      </c>
      <c r="D207" t="s">
        <v>3555</v>
      </c>
      <c r="E207" t="s">
        <v>3556</v>
      </c>
      <c r="F207" t="s">
        <v>3006</v>
      </c>
      <c r="G207" t="s">
        <v>3557</v>
      </c>
    </row>
    <row r="208" spans="1:7" ht="11.25" customHeight="1">
      <c r="A208" s="300" t="s">
        <v>14</v>
      </c>
      <c r="B208" t="s">
        <v>3523</v>
      </c>
      <c r="C208" t="s">
        <v>3524</v>
      </c>
      <c r="D208" t="s">
        <v>3558</v>
      </c>
      <c r="E208" t="s">
        <v>3559</v>
      </c>
      <c r="F208" t="s">
        <v>3006</v>
      </c>
      <c r="G208" t="s">
        <v>3560</v>
      </c>
    </row>
    <row r="209" spans="1:7" ht="11.25" customHeight="1">
      <c r="A209" s="300" t="s">
        <v>14</v>
      </c>
      <c r="B209" t="s">
        <v>3523</v>
      </c>
      <c r="C209" t="s">
        <v>3524</v>
      </c>
      <c r="D209" t="s">
        <v>3561</v>
      </c>
      <c r="E209" t="s">
        <v>3562</v>
      </c>
      <c r="F209" t="s">
        <v>3006</v>
      </c>
      <c r="G209" t="s">
        <v>3563</v>
      </c>
    </row>
    <row r="210" spans="1:7" ht="11.25" customHeight="1">
      <c r="A210" s="300" t="s">
        <v>14</v>
      </c>
      <c r="B210" t="s">
        <v>3523</v>
      </c>
      <c r="C210" t="s">
        <v>3524</v>
      </c>
      <c r="D210" t="s">
        <v>3564</v>
      </c>
      <c r="E210" t="s">
        <v>3565</v>
      </c>
      <c r="F210" t="s">
        <v>3006</v>
      </c>
      <c r="G210" t="s">
        <v>3566</v>
      </c>
    </row>
    <row r="211" spans="1:7" ht="11.25" customHeight="1">
      <c r="A211" s="300" t="s">
        <v>14</v>
      </c>
      <c r="B211" t="s">
        <v>3523</v>
      </c>
      <c r="C211" t="s">
        <v>3524</v>
      </c>
      <c r="D211" t="s">
        <v>3567</v>
      </c>
      <c r="E211" t="s">
        <v>3568</v>
      </c>
      <c r="F211" t="s">
        <v>3006</v>
      </c>
      <c r="G211" t="s">
        <v>3569</v>
      </c>
    </row>
    <row r="212" spans="1:7" ht="11.25" customHeight="1">
      <c r="A212" s="300" t="s">
        <v>14</v>
      </c>
      <c r="B212" t="s">
        <v>3570</v>
      </c>
      <c r="C212" t="s">
        <v>3571</v>
      </c>
      <c r="D212" t="s">
        <v>3572</v>
      </c>
      <c r="E212" t="s">
        <v>3573</v>
      </c>
      <c r="F212" t="s">
        <v>3006</v>
      </c>
      <c r="G212" t="s">
        <v>3574</v>
      </c>
    </row>
    <row r="213" spans="1:7" ht="11.25" customHeight="1">
      <c r="A213" s="300" t="s">
        <v>14</v>
      </c>
      <c r="B213" t="s">
        <v>3570</v>
      </c>
      <c r="C213" t="s">
        <v>3571</v>
      </c>
      <c r="D213" t="s">
        <v>3575</v>
      </c>
      <c r="E213" t="s">
        <v>3576</v>
      </c>
      <c r="F213" t="s">
        <v>3006</v>
      </c>
      <c r="G213" t="s">
        <v>3577</v>
      </c>
    </row>
    <row r="214" spans="1:7" ht="11.25" customHeight="1">
      <c r="A214" s="300" t="s">
        <v>14</v>
      </c>
      <c r="B214" t="s">
        <v>3570</v>
      </c>
      <c r="C214" t="s">
        <v>3571</v>
      </c>
      <c r="D214" t="s">
        <v>3578</v>
      </c>
      <c r="E214" t="s">
        <v>3579</v>
      </c>
      <c r="F214" t="s">
        <v>3006</v>
      </c>
      <c r="G214" t="s">
        <v>3580</v>
      </c>
    </row>
    <row r="215" spans="1:7" ht="11.25" customHeight="1">
      <c r="A215" s="300" t="s">
        <v>14</v>
      </c>
      <c r="B215" t="s">
        <v>3570</v>
      </c>
      <c r="C215" t="s">
        <v>3571</v>
      </c>
      <c r="D215" t="s">
        <v>3581</v>
      </c>
      <c r="E215" t="s">
        <v>3582</v>
      </c>
      <c r="F215" t="s">
        <v>3006</v>
      </c>
      <c r="G215" t="s">
        <v>3583</v>
      </c>
    </row>
    <row r="216" spans="1:7" ht="11.25" customHeight="1">
      <c r="A216" s="300" t="s">
        <v>14</v>
      </c>
      <c r="B216" t="s">
        <v>3570</v>
      </c>
      <c r="C216" t="s">
        <v>3571</v>
      </c>
      <c r="D216" t="s">
        <v>3584</v>
      </c>
      <c r="E216" t="s">
        <v>3585</v>
      </c>
      <c r="F216" t="s">
        <v>3006</v>
      </c>
      <c r="G216" t="s">
        <v>3586</v>
      </c>
    </row>
    <row r="217" spans="1:7" ht="11.25" customHeight="1">
      <c r="A217" s="300" t="s">
        <v>14</v>
      </c>
      <c r="B217" t="s">
        <v>3570</v>
      </c>
      <c r="C217" t="s">
        <v>3571</v>
      </c>
      <c r="D217" t="s">
        <v>3587</v>
      </c>
      <c r="E217" t="s">
        <v>3588</v>
      </c>
      <c r="F217" t="s">
        <v>3062</v>
      </c>
      <c r="G217" t="s">
        <v>3589</v>
      </c>
    </row>
    <row r="218" spans="1:7" ht="11.25" customHeight="1">
      <c r="A218" s="300" t="s">
        <v>14</v>
      </c>
      <c r="B218" t="s">
        <v>3570</v>
      </c>
      <c r="C218" t="s">
        <v>3571</v>
      </c>
      <c r="D218" t="s">
        <v>3590</v>
      </c>
      <c r="E218" t="s">
        <v>3591</v>
      </c>
      <c r="F218" t="s">
        <v>3006</v>
      </c>
      <c r="G218" t="s">
        <v>3592</v>
      </c>
    </row>
    <row r="219" spans="1:7" ht="11.25" customHeight="1">
      <c r="A219" s="300" t="s">
        <v>14</v>
      </c>
      <c r="B219" t="s">
        <v>3570</v>
      </c>
      <c r="C219" t="s">
        <v>3571</v>
      </c>
      <c r="D219" t="s">
        <v>3593</v>
      </c>
      <c r="E219" t="s">
        <v>3594</v>
      </c>
      <c r="F219" t="s">
        <v>3006</v>
      </c>
      <c r="G219" t="s">
        <v>3595</v>
      </c>
    </row>
    <row r="220" spans="1:7" ht="11.25" customHeight="1">
      <c r="A220" s="300" t="s">
        <v>14</v>
      </c>
      <c r="B220" t="s">
        <v>3570</v>
      </c>
      <c r="C220" t="s">
        <v>3571</v>
      </c>
      <c r="D220" t="s">
        <v>3570</v>
      </c>
      <c r="E220" t="s">
        <v>3571</v>
      </c>
      <c r="F220" t="s">
        <v>3007</v>
      </c>
      <c r="G220" t="s">
        <v>3596</v>
      </c>
    </row>
    <row r="221" spans="1:7" ht="11.25" customHeight="1">
      <c r="A221" s="300" t="s">
        <v>14</v>
      </c>
      <c r="B221" t="s">
        <v>3570</v>
      </c>
      <c r="C221" t="s">
        <v>3571</v>
      </c>
      <c r="D221" t="s">
        <v>3597</v>
      </c>
      <c r="E221" t="s">
        <v>3598</v>
      </c>
      <c r="F221" t="s">
        <v>3006</v>
      </c>
      <c r="G221" t="s">
        <v>3599</v>
      </c>
    </row>
    <row r="222" spans="1:7" ht="11.25" customHeight="1">
      <c r="A222" s="300" t="s">
        <v>14</v>
      </c>
      <c r="B222" t="s">
        <v>3570</v>
      </c>
      <c r="C222" t="s">
        <v>3571</v>
      </c>
      <c r="D222" t="s">
        <v>3600</v>
      </c>
      <c r="E222" t="s">
        <v>3601</v>
      </c>
      <c r="F222" t="s">
        <v>3006</v>
      </c>
      <c r="G222" t="s">
        <v>3602</v>
      </c>
    </row>
    <row r="223" spans="1:7" ht="11.25" customHeight="1">
      <c r="A223" s="300" t="s">
        <v>14</v>
      </c>
      <c r="B223" t="s">
        <v>3570</v>
      </c>
      <c r="C223" t="s">
        <v>3571</v>
      </c>
      <c r="D223" t="s">
        <v>3603</v>
      </c>
      <c r="E223" t="s">
        <v>3604</v>
      </c>
      <c r="F223" t="s">
        <v>3006</v>
      </c>
      <c r="G223" t="s">
        <v>3605</v>
      </c>
    </row>
    <row r="224" spans="1:7" ht="11.25" customHeight="1">
      <c r="A224" s="300" t="s">
        <v>14</v>
      </c>
      <c r="B224" t="s">
        <v>3606</v>
      </c>
      <c r="C224" t="s">
        <v>3607</v>
      </c>
      <c r="D224" t="s">
        <v>3608</v>
      </c>
      <c r="E224" t="s">
        <v>3609</v>
      </c>
      <c r="F224" t="s">
        <v>3006</v>
      </c>
      <c r="G224" t="s">
        <v>3610</v>
      </c>
    </row>
    <row r="225" spans="1:7" ht="11.25" customHeight="1">
      <c r="A225" s="300" t="s">
        <v>14</v>
      </c>
      <c r="B225" t="s">
        <v>3606</v>
      </c>
      <c r="C225" t="s">
        <v>3607</v>
      </c>
      <c r="D225" t="s">
        <v>3611</v>
      </c>
      <c r="E225" t="s">
        <v>3612</v>
      </c>
      <c r="F225" t="s">
        <v>3006</v>
      </c>
      <c r="G225" t="s">
        <v>3613</v>
      </c>
    </row>
    <row r="226" spans="1:7" ht="11.25" customHeight="1">
      <c r="A226" s="300" t="s">
        <v>14</v>
      </c>
      <c r="B226" t="s">
        <v>3606</v>
      </c>
      <c r="C226" t="s">
        <v>3607</v>
      </c>
      <c r="D226" t="s">
        <v>3614</v>
      </c>
      <c r="E226" t="s">
        <v>3615</v>
      </c>
      <c r="F226" t="s">
        <v>3062</v>
      </c>
      <c r="G226" t="s">
        <v>3616</v>
      </c>
    </row>
    <row r="227" spans="1:7" ht="11.25" customHeight="1">
      <c r="A227" s="300" t="s">
        <v>14</v>
      </c>
      <c r="B227" t="s">
        <v>3606</v>
      </c>
      <c r="C227" t="s">
        <v>3607</v>
      </c>
      <c r="D227" t="s">
        <v>3617</v>
      </c>
      <c r="E227" t="s">
        <v>3618</v>
      </c>
      <c r="F227" t="s">
        <v>3006</v>
      </c>
      <c r="G227" t="s">
        <v>3619</v>
      </c>
    </row>
    <row r="228" spans="1:7" ht="11.25" customHeight="1">
      <c r="A228" s="300" t="s">
        <v>14</v>
      </c>
      <c r="B228" t="s">
        <v>3606</v>
      </c>
      <c r="C228" t="s">
        <v>3607</v>
      </c>
      <c r="D228" t="s">
        <v>3620</v>
      </c>
      <c r="E228" t="s">
        <v>3621</v>
      </c>
      <c r="F228" t="s">
        <v>3006</v>
      </c>
      <c r="G228" t="s">
        <v>3622</v>
      </c>
    </row>
    <row r="229" spans="1:7" ht="11.25" customHeight="1">
      <c r="A229" s="300" t="s">
        <v>14</v>
      </c>
      <c r="B229" t="s">
        <v>3606</v>
      </c>
      <c r="C229" t="s">
        <v>3607</v>
      </c>
      <c r="D229" t="s">
        <v>3623</v>
      </c>
      <c r="E229" t="s">
        <v>3624</v>
      </c>
      <c r="F229" t="s">
        <v>3006</v>
      </c>
      <c r="G229" t="s">
        <v>3625</v>
      </c>
    </row>
    <row r="230" spans="1:7" ht="11.25" customHeight="1">
      <c r="A230" s="300" t="s">
        <v>14</v>
      </c>
      <c r="B230" t="s">
        <v>3606</v>
      </c>
      <c r="C230" t="s">
        <v>3607</v>
      </c>
      <c r="D230" t="s">
        <v>3626</v>
      </c>
      <c r="E230" t="s">
        <v>3627</v>
      </c>
      <c r="F230" t="s">
        <v>3006</v>
      </c>
      <c r="G230" t="s">
        <v>3628</v>
      </c>
    </row>
    <row r="231" spans="1:7" ht="11.25" customHeight="1">
      <c r="A231" s="300" t="s">
        <v>14</v>
      </c>
      <c r="B231" t="s">
        <v>3606</v>
      </c>
      <c r="C231" t="s">
        <v>3607</v>
      </c>
      <c r="D231" t="s">
        <v>3629</v>
      </c>
      <c r="E231" t="s">
        <v>3630</v>
      </c>
      <c r="F231" t="s">
        <v>3006</v>
      </c>
      <c r="G231" t="s">
        <v>3631</v>
      </c>
    </row>
    <row r="232" spans="1:7" ht="11.25" customHeight="1">
      <c r="A232" s="300" t="s">
        <v>14</v>
      </c>
      <c r="B232" t="s">
        <v>3606</v>
      </c>
      <c r="C232" t="s">
        <v>3607</v>
      </c>
      <c r="D232" t="s">
        <v>3632</v>
      </c>
      <c r="E232" t="s">
        <v>3633</v>
      </c>
      <c r="F232" t="s">
        <v>3006</v>
      </c>
      <c r="G232" t="s">
        <v>3634</v>
      </c>
    </row>
    <row r="233" spans="1:7" ht="11.25" customHeight="1">
      <c r="A233" s="300" t="s">
        <v>14</v>
      </c>
      <c r="B233" t="s">
        <v>3606</v>
      </c>
      <c r="C233" t="s">
        <v>3607</v>
      </c>
      <c r="D233" t="s">
        <v>3606</v>
      </c>
      <c r="E233" t="s">
        <v>3607</v>
      </c>
      <c r="F233" t="s">
        <v>3007</v>
      </c>
      <c r="G233" t="s">
        <v>3635</v>
      </c>
    </row>
    <row r="234" spans="1:7" ht="11.25" customHeight="1">
      <c r="A234" s="300" t="s">
        <v>14</v>
      </c>
      <c r="B234" t="s">
        <v>3606</v>
      </c>
      <c r="C234" t="s">
        <v>3607</v>
      </c>
      <c r="D234" t="s">
        <v>3636</v>
      </c>
      <c r="E234" t="s">
        <v>3637</v>
      </c>
      <c r="F234" t="s">
        <v>3006</v>
      </c>
      <c r="G234" t="s">
        <v>3638</v>
      </c>
    </row>
    <row r="235" spans="1:7" ht="11.25" customHeight="1">
      <c r="A235" s="300" t="s">
        <v>14</v>
      </c>
      <c r="B235" t="s">
        <v>3606</v>
      </c>
      <c r="C235" t="s">
        <v>3607</v>
      </c>
      <c r="D235" t="s">
        <v>3639</v>
      </c>
      <c r="E235" t="s">
        <v>3640</v>
      </c>
      <c r="F235" t="s">
        <v>3006</v>
      </c>
      <c r="G235" t="s">
        <v>3641</v>
      </c>
    </row>
    <row r="236" spans="1:7" ht="11.25" customHeight="1">
      <c r="A236" s="300" t="s">
        <v>14</v>
      </c>
      <c r="B236" t="s">
        <v>3606</v>
      </c>
      <c r="C236" t="s">
        <v>3607</v>
      </c>
      <c r="D236" t="s">
        <v>3642</v>
      </c>
      <c r="E236" t="s">
        <v>3643</v>
      </c>
      <c r="F236" t="s">
        <v>3022</v>
      </c>
      <c r="G236" t="s">
        <v>3644</v>
      </c>
    </row>
    <row r="237" spans="1:7" ht="11.25" customHeight="1">
      <c r="A237" s="300" t="s">
        <v>14</v>
      </c>
      <c r="B237" t="s">
        <v>3645</v>
      </c>
      <c r="C237" t="s">
        <v>3646</v>
      </c>
      <c r="D237" t="s">
        <v>3647</v>
      </c>
      <c r="E237" t="s">
        <v>3648</v>
      </c>
      <c r="F237" t="s">
        <v>3006</v>
      </c>
      <c r="G237" t="s">
        <v>3649</v>
      </c>
    </row>
    <row r="238" spans="1:7" ht="11.25" customHeight="1">
      <c r="A238" s="300" t="s">
        <v>14</v>
      </c>
      <c r="B238" t="s">
        <v>3645</v>
      </c>
      <c r="C238" t="s">
        <v>3646</v>
      </c>
      <c r="D238" t="s">
        <v>3650</v>
      </c>
      <c r="E238" t="s">
        <v>3651</v>
      </c>
      <c r="F238" t="s">
        <v>3006</v>
      </c>
      <c r="G238" t="s">
        <v>3652</v>
      </c>
    </row>
    <row r="239" spans="1:7" ht="11.25" customHeight="1">
      <c r="A239" s="300" t="s">
        <v>14</v>
      </c>
      <c r="B239" t="s">
        <v>3645</v>
      </c>
      <c r="C239" t="s">
        <v>3646</v>
      </c>
      <c r="D239" t="s">
        <v>3645</v>
      </c>
      <c r="E239" t="s">
        <v>3646</v>
      </c>
      <c r="F239" t="s">
        <v>3007</v>
      </c>
      <c r="G239" t="s">
        <v>3653</v>
      </c>
    </row>
    <row r="240" spans="1:7" ht="11.25" customHeight="1">
      <c r="A240" s="300" t="s">
        <v>14</v>
      </c>
      <c r="B240" t="s">
        <v>3645</v>
      </c>
      <c r="C240" t="s">
        <v>3646</v>
      </c>
      <c r="D240" t="s">
        <v>3654</v>
      </c>
      <c r="E240" t="s">
        <v>3655</v>
      </c>
      <c r="F240" t="s">
        <v>3022</v>
      </c>
      <c r="G240" t="s">
        <v>3656</v>
      </c>
    </row>
    <row r="241" spans="1:7" ht="11.25" customHeight="1">
      <c r="A241" s="300" t="s">
        <v>14</v>
      </c>
      <c r="B241" t="s">
        <v>3645</v>
      </c>
      <c r="C241" t="s">
        <v>3646</v>
      </c>
      <c r="D241" t="s">
        <v>3657</v>
      </c>
      <c r="E241" t="s">
        <v>3658</v>
      </c>
      <c r="F241" t="s">
        <v>3006</v>
      </c>
      <c r="G241" t="s">
        <v>3659</v>
      </c>
    </row>
    <row r="242" spans="1:7" ht="11.25" customHeight="1">
      <c r="A242" s="300" t="s">
        <v>14</v>
      </c>
      <c r="B242" t="s">
        <v>3645</v>
      </c>
      <c r="C242" t="s">
        <v>3646</v>
      </c>
      <c r="D242" t="s">
        <v>3660</v>
      </c>
      <c r="E242" t="s">
        <v>3661</v>
      </c>
      <c r="F242" t="s">
        <v>3006</v>
      </c>
      <c r="G242" t="s">
        <v>3662</v>
      </c>
    </row>
    <row r="243" spans="1:7" ht="11.25" customHeight="1">
      <c r="A243" s="300" t="s">
        <v>14</v>
      </c>
      <c r="B243" t="s">
        <v>3645</v>
      </c>
      <c r="C243" t="s">
        <v>3646</v>
      </c>
      <c r="D243" t="s">
        <v>3663</v>
      </c>
      <c r="E243" t="s">
        <v>3664</v>
      </c>
      <c r="F243" t="s">
        <v>3006</v>
      </c>
      <c r="G243" t="s">
        <v>3665</v>
      </c>
    </row>
    <row r="244" spans="1:7" ht="11.25" customHeight="1">
      <c r="A244" s="300" t="s">
        <v>14</v>
      </c>
      <c r="B244" t="s">
        <v>3645</v>
      </c>
      <c r="C244" t="s">
        <v>3646</v>
      </c>
      <c r="D244" t="s">
        <v>3666</v>
      </c>
      <c r="E244" t="s">
        <v>3667</v>
      </c>
      <c r="F244" t="s">
        <v>3006</v>
      </c>
      <c r="G244" t="s">
        <v>3668</v>
      </c>
    </row>
    <row r="245" spans="1:7" ht="11.25" customHeight="1">
      <c r="A245" s="300" t="s">
        <v>14</v>
      </c>
      <c r="B245" t="s">
        <v>3645</v>
      </c>
      <c r="C245" t="s">
        <v>3646</v>
      </c>
      <c r="D245" t="s">
        <v>3669</v>
      </c>
      <c r="E245" t="s">
        <v>3670</v>
      </c>
      <c r="F245" t="s">
        <v>3006</v>
      </c>
      <c r="G245" t="s">
        <v>3671</v>
      </c>
    </row>
    <row r="246" spans="1:7" ht="11.25" customHeight="1">
      <c r="A246" s="300" t="s">
        <v>14</v>
      </c>
      <c r="B246" t="s">
        <v>3672</v>
      </c>
      <c r="C246" t="s">
        <v>3673</v>
      </c>
      <c r="D246" t="s">
        <v>3674</v>
      </c>
      <c r="E246" t="s">
        <v>3675</v>
      </c>
      <c r="F246" t="s">
        <v>3006</v>
      </c>
      <c r="G246" t="s">
        <v>3676</v>
      </c>
    </row>
    <row r="247" spans="1:7" ht="11.25" customHeight="1">
      <c r="A247" s="300" t="s">
        <v>14</v>
      </c>
      <c r="B247" t="s">
        <v>3672</v>
      </c>
      <c r="C247" t="s">
        <v>3673</v>
      </c>
      <c r="D247" t="s">
        <v>3677</v>
      </c>
      <c r="E247" t="s">
        <v>3678</v>
      </c>
      <c r="F247" t="s">
        <v>3006</v>
      </c>
      <c r="G247" t="s">
        <v>3679</v>
      </c>
    </row>
    <row r="248" spans="1:7" ht="11.25" customHeight="1">
      <c r="A248" s="300" t="s">
        <v>14</v>
      </c>
      <c r="B248" t="s">
        <v>3672</v>
      </c>
      <c r="C248" t="s">
        <v>3673</v>
      </c>
      <c r="D248" t="s">
        <v>3680</v>
      </c>
      <c r="E248" t="s">
        <v>3681</v>
      </c>
      <c r="F248" t="s">
        <v>3006</v>
      </c>
      <c r="G248" t="s">
        <v>3682</v>
      </c>
    </row>
    <row r="249" spans="1:7" ht="11.25" customHeight="1">
      <c r="A249" s="300" t="s">
        <v>14</v>
      </c>
      <c r="B249" t="s">
        <v>3672</v>
      </c>
      <c r="C249" t="s">
        <v>3673</v>
      </c>
      <c r="D249" t="s">
        <v>3683</v>
      </c>
      <c r="E249" t="s">
        <v>3684</v>
      </c>
      <c r="F249" t="s">
        <v>3006</v>
      </c>
      <c r="G249" t="s">
        <v>3685</v>
      </c>
    </row>
    <row r="250" spans="1:7" ht="11.25" customHeight="1">
      <c r="A250" s="300" t="s">
        <v>14</v>
      </c>
      <c r="B250" t="s">
        <v>3672</v>
      </c>
      <c r="C250" t="s">
        <v>3673</v>
      </c>
      <c r="D250" t="s">
        <v>3686</v>
      </c>
      <c r="E250" t="s">
        <v>3687</v>
      </c>
      <c r="F250" t="s">
        <v>3006</v>
      </c>
      <c r="G250" t="s">
        <v>3688</v>
      </c>
    </row>
    <row r="251" spans="1:7" ht="11.25" customHeight="1">
      <c r="A251" s="300" t="s">
        <v>14</v>
      </c>
      <c r="B251" t="s">
        <v>3672</v>
      </c>
      <c r="C251" t="s">
        <v>3673</v>
      </c>
      <c r="D251" t="s">
        <v>3689</v>
      </c>
      <c r="E251" t="s">
        <v>3690</v>
      </c>
      <c r="F251" t="s">
        <v>3006</v>
      </c>
      <c r="G251" t="s">
        <v>3691</v>
      </c>
    </row>
    <row r="252" spans="1:7" ht="11.25" customHeight="1">
      <c r="A252" s="300" t="s">
        <v>14</v>
      </c>
      <c r="B252" t="s">
        <v>3672</v>
      </c>
      <c r="C252" t="s">
        <v>3673</v>
      </c>
      <c r="D252" t="s">
        <v>3447</v>
      </c>
      <c r="E252" t="s">
        <v>3692</v>
      </c>
      <c r="F252" t="s">
        <v>3006</v>
      </c>
      <c r="G252" t="s">
        <v>3693</v>
      </c>
    </row>
    <row r="253" spans="1:7" ht="11.25" customHeight="1">
      <c r="A253" s="300" t="s">
        <v>14</v>
      </c>
      <c r="B253" t="s">
        <v>3672</v>
      </c>
      <c r="C253" t="s">
        <v>3673</v>
      </c>
      <c r="D253" t="s">
        <v>3694</v>
      </c>
      <c r="E253" t="s">
        <v>3695</v>
      </c>
      <c r="F253" t="s">
        <v>3006</v>
      </c>
      <c r="G253" t="s">
        <v>3696</v>
      </c>
    </row>
    <row r="254" spans="1:7" ht="11.25" customHeight="1">
      <c r="A254" s="300" t="s">
        <v>14</v>
      </c>
      <c r="B254" t="s">
        <v>3672</v>
      </c>
      <c r="C254" t="s">
        <v>3673</v>
      </c>
      <c r="D254" t="s">
        <v>3697</v>
      </c>
      <c r="E254" t="s">
        <v>3698</v>
      </c>
      <c r="F254" t="s">
        <v>3006</v>
      </c>
      <c r="G254" t="s">
        <v>3699</v>
      </c>
    </row>
    <row r="255" spans="1:7" ht="11.25" customHeight="1">
      <c r="A255" s="300" t="s">
        <v>14</v>
      </c>
      <c r="B255" t="s">
        <v>3672</v>
      </c>
      <c r="C255" t="s">
        <v>3673</v>
      </c>
      <c r="D255" t="s">
        <v>3700</v>
      </c>
      <c r="E255" t="s">
        <v>3701</v>
      </c>
      <c r="F255" t="s">
        <v>3006</v>
      </c>
      <c r="G255" t="s">
        <v>3702</v>
      </c>
    </row>
    <row r="256" spans="1:7" ht="11.25" customHeight="1">
      <c r="A256" s="300" t="s">
        <v>14</v>
      </c>
      <c r="B256" t="s">
        <v>3672</v>
      </c>
      <c r="C256" t="s">
        <v>3673</v>
      </c>
      <c r="D256" t="s">
        <v>3703</v>
      </c>
      <c r="E256" t="s">
        <v>3704</v>
      </c>
      <c r="F256" t="s">
        <v>3006</v>
      </c>
      <c r="G256" t="s">
        <v>3705</v>
      </c>
    </row>
    <row r="257" spans="1:7" ht="11.25" customHeight="1">
      <c r="A257" s="300" t="s">
        <v>14</v>
      </c>
      <c r="B257" t="s">
        <v>3672</v>
      </c>
      <c r="C257" t="s">
        <v>3673</v>
      </c>
      <c r="D257" t="s">
        <v>3706</v>
      </c>
      <c r="E257" t="s">
        <v>3707</v>
      </c>
      <c r="F257" t="s">
        <v>3006</v>
      </c>
      <c r="G257" t="s">
        <v>3708</v>
      </c>
    </row>
    <row r="258" spans="1:7" ht="11.25" customHeight="1">
      <c r="A258" s="300" t="s">
        <v>14</v>
      </c>
      <c r="B258" t="s">
        <v>3672</v>
      </c>
      <c r="C258" t="s">
        <v>3673</v>
      </c>
      <c r="D258" t="s">
        <v>3709</v>
      </c>
      <c r="E258" t="s">
        <v>3710</v>
      </c>
      <c r="F258" t="s">
        <v>3006</v>
      </c>
      <c r="G258" t="s">
        <v>3711</v>
      </c>
    </row>
    <row r="259" spans="1:7" ht="11.25" customHeight="1">
      <c r="A259" s="300" t="s">
        <v>14</v>
      </c>
      <c r="B259" t="s">
        <v>3672</v>
      </c>
      <c r="C259" t="s">
        <v>3673</v>
      </c>
      <c r="D259" t="s">
        <v>3712</v>
      </c>
      <c r="E259" t="s">
        <v>3713</v>
      </c>
      <c r="F259" t="s">
        <v>3006</v>
      </c>
      <c r="G259" t="s">
        <v>3714</v>
      </c>
    </row>
    <row r="260" spans="1:7" ht="11.25" customHeight="1">
      <c r="A260" s="300" t="s">
        <v>14</v>
      </c>
      <c r="B260" t="s">
        <v>3672</v>
      </c>
      <c r="C260" t="s">
        <v>3673</v>
      </c>
      <c r="D260" t="s">
        <v>3672</v>
      </c>
      <c r="E260" t="s">
        <v>3673</v>
      </c>
      <c r="F260" t="s">
        <v>3007</v>
      </c>
      <c r="G260" t="s">
        <v>3715</v>
      </c>
    </row>
    <row r="261" spans="1:7" ht="11.25" customHeight="1">
      <c r="A261" s="300" t="s">
        <v>14</v>
      </c>
      <c r="B261" t="s">
        <v>3672</v>
      </c>
      <c r="C261" t="s">
        <v>3673</v>
      </c>
      <c r="D261" t="s">
        <v>3716</v>
      </c>
      <c r="E261" t="s">
        <v>3717</v>
      </c>
      <c r="F261" t="s">
        <v>3006</v>
      </c>
      <c r="G261" t="s">
        <v>3718</v>
      </c>
    </row>
    <row r="262" spans="1:7" ht="11.25" customHeight="1">
      <c r="A262" s="300" t="s">
        <v>14</v>
      </c>
      <c r="B262" t="s">
        <v>3672</v>
      </c>
      <c r="C262" t="s">
        <v>3673</v>
      </c>
      <c r="D262" t="s">
        <v>3719</v>
      </c>
      <c r="E262" t="s">
        <v>3720</v>
      </c>
      <c r="F262" t="s">
        <v>3022</v>
      </c>
      <c r="G262" t="s">
        <v>3721</v>
      </c>
    </row>
    <row r="263" spans="1:7" ht="11.25" customHeight="1">
      <c r="A263" s="300" t="s">
        <v>14</v>
      </c>
      <c r="B263" t="s">
        <v>3672</v>
      </c>
      <c r="C263" t="s">
        <v>3673</v>
      </c>
      <c r="D263" t="s">
        <v>3722</v>
      </c>
      <c r="E263" t="s">
        <v>3723</v>
      </c>
      <c r="F263" t="s">
        <v>3006</v>
      </c>
      <c r="G263" t="s">
        <v>3724</v>
      </c>
    </row>
    <row r="264" spans="1:7" ht="11.25" customHeight="1">
      <c r="A264" s="300" t="s">
        <v>14</v>
      </c>
      <c r="B264" t="s">
        <v>3672</v>
      </c>
      <c r="C264" t="s">
        <v>3673</v>
      </c>
      <c r="D264" t="s">
        <v>3725</v>
      </c>
      <c r="E264" t="s">
        <v>3726</v>
      </c>
      <c r="F264" t="s">
        <v>3006</v>
      </c>
      <c r="G264" t="s">
        <v>3727</v>
      </c>
    </row>
    <row r="265" spans="1:7" ht="11.25" customHeight="1">
      <c r="A265" s="300" t="s">
        <v>14</v>
      </c>
      <c r="B265" t="s">
        <v>3728</v>
      </c>
      <c r="C265" t="s">
        <v>3729</v>
      </c>
      <c r="D265" t="s">
        <v>3730</v>
      </c>
      <c r="E265" t="s">
        <v>3731</v>
      </c>
      <c r="F265" t="s">
        <v>3062</v>
      </c>
      <c r="G265" t="s">
        <v>3732</v>
      </c>
    </row>
    <row r="266" spans="1:7" ht="11.25" customHeight="1">
      <c r="A266" s="300" t="s">
        <v>14</v>
      </c>
      <c r="B266" t="s">
        <v>3728</v>
      </c>
      <c r="C266" t="s">
        <v>3729</v>
      </c>
      <c r="D266" t="s">
        <v>3733</v>
      </c>
      <c r="E266" t="s">
        <v>3734</v>
      </c>
      <c r="F266" t="s">
        <v>3006</v>
      </c>
      <c r="G266" t="s">
        <v>3735</v>
      </c>
    </row>
    <row r="267" spans="1:7" ht="11.25" customHeight="1">
      <c r="A267" s="300" t="s">
        <v>14</v>
      </c>
      <c r="B267" t="s">
        <v>3728</v>
      </c>
      <c r="C267" t="s">
        <v>3729</v>
      </c>
      <c r="D267" t="s">
        <v>3736</v>
      </c>
      <c r="E267" t="s">
        <v>3737</v>
      </c>
      <c r="F267" t="s">
        <v>3006</v>
      </c>
      <c r="G267" t="s">
        <v>3738</v>
      </c>
    </row>
    <row r="268" spans="1:7" ht="11.25" customHeight="1">
      <c r="A268" s="300" t="s">
        <v>14</v>
      </c>
      <c r="B268" t="s">
        <v>3728</v>
      </c>
      <c r="C268" t="s">
        <v>3729</v>
      </c>
      <c r="D268" t="s">
        <v>3739</v>
      </c>
      <c r="E268" t="s">
        <v>3740</v>
      </c>
      <c r="F268" t="s">
        <v>3006</v>
      </c>
      <c r="G268" t="s">
        <v>3741</v>
      </c>
    </row>
    <row r="269" spans="1:7" ht="11.25" customHeight="1">
      <c r="A269" s="300" t="s">
        <v>14</v>
      </c>
      <c r="B269" t="s">
        <v>3728</v>
      </c>
      <c r="C269" t="s">
        <v>3729</v>
      </c>
      <c r="D269" t="s">
        <v>3742</v>
      </c>
      <c r="E269" t="s">
        <v>3743</v>
      </c>
      <c r="F269" t="s">
        <v>3006</v>
      </c>
      <c r="G269" t="s">
        <v>3744</v>
      </c>
    </row>
    <row r="270" spans="1:7" ht="11.25" customHeight="1">
      <c r="A270" s="300" t="s">
        <v>14</v>
      </c>
      <c r="B270" t="s">
        <v>3728</v>
      </c>
      <c r="C270" t="s">
        <v>3729</v>
      </c>
      <c r="D270" t="s">
        <v>3745</v>
      </c>
      <c r="E270" t="s">
        <v>3746</v>
      </c>
      <c r="F270" t="s">
        <v>3006</v>
      </c>
      <c r="G270" t="s">
        <v>3747</v>
      </c>
    </row>
    <row r="271" spans="1:7" ht="11.25" customHeight="1">
      <c r="A271" s="300" t="s">
        <v>14</v>
      </c>
      <c r="B271" t="s">
        <v>3728</v>
      </c>
      <c r="C271" t="s">
        <v>3729</v>
      </c>
      <c r="D271" t="s">
        <v>3748</v>
      </c>
      <c r="E271" t="s">
        <v>3749</v>
      </c>
      <c r="F271" t="s">
        <v>3006</v>
      </c>
      <c r="G271" t="s">
        <v>3750</v>
      </c>
    </row>
    <row r="272" spans="1:7" ht="11.25" customHeight="1">
      <c r="A272" s="300" t="s">
        <v>14</v>
      </c>
      <c r="B272" t="s">
        <v>3728</v>
      </c>
      <c r="C272" t="s">
        <v>3729</v>
      </c>
      <c r="D272" t="s">
        <v>3751</v>
      </c>
      <c r="E272" t="s">
        <v>3752</v>
      </c>
      <c r="F272" t="s">
        <v>3006</v>
      </c>
      <c r="G272" t="s">
        <v>3753</v>
      </c>
    </row>
    <row r="273" spans="1:7" ht="11.25" customHeight="1">
      <c r="A273" s="300" t="s">
        <v>14</v>
      </c>
      <c r="B273" t="s">
        <v>3728</v>
      </c>
      <c r="C273" t="s">
        <v>3729</v>
      </c>
      <c r="D273" t="s">
        <v>3754</v>
      </c>
      <c r="E273" t="s">
        <v>3755</v>
      </c>
      <c r="F273" t="s">
        <v>3006</v>
      </c>
      <c r="G273" t="s">
        <v>3756</v>
      </c>
    </row>
    <row r="274" spans="1:7" ht="11.25" customHeight="1">
      <c r="A274" s="300" t="s">
        <v>14</v>
      </c>
      <c r="B274" t="s">
        <v>3728</v>
      </c>
      <c r="C274" t="s">
        <v>3729</v>
      </c>
      <c r="D274" t="s">
        <v>3757</v>
      </c>
      <c r="E274" t="s">
        <v>3758</v>
      </c>
      <c r="F274" t="s">
        <v>3006</v>
      </c>
      <c r="G274" t="s">
        <v>3759</v>
      </c>
    </row>
    <row r="275" spans="1:7" ht="11.25" customHeight="1">
      <c r="A275" s="300" t="s">
        <v>14</v>
      </c>
      <c r="B275" t="s">
        <v>3728</v>
      </c>
      <c r="C275" t="s">
        <v>3729</v>
      </c>
      <c r="D275" t="s">
        <v>3760</v>
      </c>
      <c r="E275" t="s">
        <v>3761</v>
      </c>
      <c r="F275" t="s">
        <v>3006</v>
      </c>
      <c r="G275" t="s">
        <v>3762</v>
      </c>
    </row>
    <row r="276" spans="1:7" ht="11.25" customHeight="1">
      <c r="A276" s="300" t="s">
        <v>14</v>
      </c>
      <c r="B276" t="s">
        <v>3728</v>
      </c>
      <c r="C276" t="s">
        <v>3729</v>
      </c>
      <c r="D276" t="s">
        <v>3728</v>
      </c>
      <c r="E276" t="s">
        <v>3729</v>
      </c>
      <c r="F276" t="s">
        <v>3007</v>
      </c>
      <c r="G276" t="s">
        <v>3763</v>
      </c>
    </row>
    <row r="277" spans="1:7" ht="11.25" customHeight="1">
      <c r="A277" s="300" t="s">
        <v>14</v>
      </c>
      <c r="B277" t="s">
        <v>3728</v>
      </c>
      <c r="C277" t="s">
        <v>3729</v>
      </c>
      <c r="D277" t="s">
        <v>3764</v>
      </c>
      <c r="E277" t="s">
        <v>3765</v>
      </c>
      <c r="F277" t="s">
        <v>3006</v>
      </c>
      <c r="G277" t="s">
        <v>3766</v>
      </c>
    </row>
    <row r="278" spans="1:7" ht="11.25" customHeight="1">
      <c r="A278" s="300" t="s">
        <v>14</v>
      </c>
      <c r="B278" t="s">
        <v>3767</v>
      </c>
      <c r="C278" t="s">
        <v>3768</v>
      </c>
      <c r="D278" t="s">
        <v>3769</v>
      </c>
      <c r="E278" t="s">
        <v>3770</v>
      </c>
      <c r="F278" t="s">
        <v>3006</v>
      </c>
      <c r="G278" t="s">
        <v>3771</v>
      </c>
    </row>
    <row r="279" spans="1:7" ht="11.25" customHeight="1">
      <c r="A279" s="300" t="s">
        <v>14</v>
      </c>
      <c r="B279" t="s">
        <v>3767</v>
      </c>
      <c r="C279" t="s">
        <v>3768</v>
      </c>
      <c r="D279" t="s">
        <v>3772</v>
      </c>
      <c r="E279" t="s">
        <v>3773</v>
      </c>
      <c r="F279" t="s">
        <v>3006</v>
      </c>
      <c r="G279" t="s">
        <v>3774</v>
      </c>
    </row>
    <row r="280" spans="1:7" ht="11.25" customHeight="1">
      <c r="A280" s="300" t="s">
        <v>14</v>
      </c>
      <c r="B280" t="s">
        <v>3767</v>
      </c>
      <c r="C280" t="s">
        <v>3768</v>
      </c>
      <c r="D280" t="s">
        <v>3775</v>
      </c>
      <c r="E280" t="s">
        <v>3776</v>
      </c>
      <c r="F280" t="s">
        <v>3006</v>
      </c>
      <c r="G280" t="s">
        <v>3777</v>
      </c>
    </row>
    <row r="281" spans="1:7" ht="11.25" customHeight="1">
      <c r="A281" s="300" t="s">
        <v>14</v>
      </c>
      <c r="B281" t="s">
        <v>3767</v>
      </c>
      <c r="C281" t="s">
        <v>3768</v>
      </c>
      <c r="D281" t="s">
        <v>3778</v>
      </c>
      <c r="E281" t="s">
        <v>3779</v>
      </c>
      <c r="F281" t="s">
        <v>3006</v>
      </c>
      <c r="G281" t="s">
        <v>3780</v>
      </c>
    </row>
    <row r="282" spans="1:7" ht="11.25" customHeight="1">
      <c r="A282" s="300" t="s">
        <v>14</v>
      </c>
      <c r="B282" t="s">
        <v>3767</v>
      </c>
      <c r="C282" t="s">
        <v>3768</v>
      </c>
      <c r="D282" t="s">
        <v>3781</v>
      </c>
      <c r="E282" t="s">
        <v>3782</v>
      </c>
      <c r="F282" t="s">
        <v>3006</v>
      </c>
      <c r="G282" t="s">
        <v>3783</v>
      </c>
    </row>
    <row r="283" spans="1:7" ht="11.25" customHeight="1">
      <c r="A283" s="300" t="s">
        <v>14</v>
      </c>
      <c r="B283" t="s">
        <v>3767</v>
      </c>
      <c r="C283" t="s">
        <v>3768</v>
      </c>
      <c r="D283" t="s">
        <v>3784</v>
      </c>
      <c r="E283" t="s">
        <v>3785</v>
      </c>
      <c r="F283" t="s">
        <v>3006</v>
      </c>
      <c r="G283" t="s">
        <v>3786</v>
      </c>
    </row>
    <row r="284" spans="1:7" ht="11.25" customHeight="1">
      <c r="A284" s="300" t="s">
        <v>14</v>
      </c>
      <c r="B284" t="s">
        <v>3767</v>
      </c>
      <c r="C284" t="s">
        <v>3768</v>
      </c>
      <c r="D284" t="s">
        <v>3787</v>
      </c>
      <c r="E284" t="s">
        <v>3788</v>
      </c>
      <c r="F284" t="s">
        <v>3006</v>
      </c>
      <c r="G284" t="s">
        <v>3789</v>
      </c>
    </row>
    <row r="285" spans="1:7" ht="11.25" customHeight="1">
      <c r="A285" s="300" t="s">
        <v>14</v>
      </c>
      <c r="B285" t="s">
        <v>3767</v>
      </c>
      <c r="C285" t="s">
        <v>3768</v>
      </c>
      <c r="D285" t="s">
        <v>3790</v>
      </c>
      <c r="E285" t="s">
        <v>3791</v>
      </c>
      <c r="F285" t="s">
        <v>3006</v>
      </c>
      <c r="G285" t="s">
        <v>3792</v>
      </c>
    </row>
    <row r="286" spans="1:7" ht="11.25" customHeight="1">
      <c r="A286" s="300" t="s">
        <v>14</v>
      </c>
      <c r="B286" t="s">
        <v>3767</v>
      </c>
      <c r="C286" t="s">
        <v>3768</v>
      </c>
      <c r="D286" t="s">
        <v>3793</v>
      </c>
      <c r="E286" t="s">
        <v>3794</v>
      </c>
      <c r="F286" t="s">
        <v>3006</v>
      </c>
      <c r="G286" t="s">
        <v>3795</v>
      </c>
    </row>
    <row r="287" spans="1:7" ht="11.25" customHeight="1">
      <c r="A287" s="300" t="s">
        <v>14</v>
      </c>
      <c r="B287" t="s">
        <v>3767</v>
      </c>
      <c r="C287" t="s">
        <v>3768</v>
      </c>
      <c r="D287" t="s">
        <v>3796</v>
      </c>
      <c r="E287" t="s">
        <v>3797</v>
      </c>
      <c r="F287" t="s">
        <v>3006</v>
      </c>
      <c r="G287" t="s">
        <v>3798</v>
      </c>
    </row>
    <row r="288" spans="1:7" ht="11.25" customHeight="1">
      <c r="A288" s="300" t="s">
        <v>14</v>
      </c>
      <c r="B288" t="s">
        <v>3767</v>
      </c>
      <c r="C288" t="s">
        <v>3768</v>
      </c>
      <c r="D288" t="s">
        <v>3799</v>
      </c>
      <c r="E288" t="s">
        <v>3800</v>
      </c>
      <c r="F288" t="s">
        <v>3006</v>
      </c>
      <c r="G288" t="s">
        <v>3801</v>
      </c>
    </row>
    <row r="289" spans="1:7" ht="11.25" customHeight="1">
      <c r="A289" s="300" t="s">
        <v>14</v>
      </c>
      <c r="B289" t="s">
        <v>3767</v>
      </c>
      <c r="C289" t="s">
        <v>3768</v>
      </c>
      <c r="D289" t="s">
        <v>3802</v>
      </c>
      <c r="E289" t="s">
        <v>3803</v>
      </c>
      <c r="F289" t="s">
        <v>3022</v>
      </c>
      <c r="G289" t="s">
        <v>3804</v>
      </c>
    </row>
    <row r="290" spans="1:7" ht="11.25" customHeight="1">
      <c r="A290" s="300" t="s">
        <v>14</v>
      </c>
      <c r="B290" t="s">
        <v>3767</v>
      </c>
      <c r="C290" t="s">
        <v>3768</v>
      </c>
      <c r="D290" t="s">
        <v>3805</v>
      </c>
      <c r="E290" t="s">
        <v>3806</v>
      </c>
      <c r="F290" t="s">
        <v>3006</v>
      </c>
      <c r="G290" t="s">
        <v>3807</v>
      </c>
    </row>
    <row r="291" spans="1:7" ht="11.25" customHeight="1">
      <c r="A291" s="300" t="s">
        <v>14</v>
      </c>
      <c r="B291" t="s">
        <v>3767</v>
      </c>
      <c r="C291" t="s">
        <v>3768</v>
      </c>
      <c r="D291" t="s">
        <v>3767</v>
      </c>
      <c r="E291" t="s">
        <v>3768</v>
      </c>
      <c r="F291" t="s">
        <v>3007</v>
      </c>
      <c r="G291" t="s">
        <v>3808</v>
      </c>
    </row>
    <row r="292" spans="1:7" ht="11.25" customHeight="1">
      <c r="A292" s="300" t="s">
        <v>14</v>
      </c>
      <c r="B292" t="s">
        <v>3767</v>
      </c>
      <c r="C292" t="s">
        <v>3768</v>
      </c>
      <c r="D292" t="s">
        <v>3809</v>
      </c>
      <c r="E292" t="s">
        <v>3810</v>
      </c>
      <c r="F292" t="s">
        <v>3006</v>
      </c>
      <c r="G292" t="s">
        <v>3811</v>
      </c>
    </row>
    <row r="293" spans="1:7" ht="11.25" customHeight="1">
      <c r="A293" s="300" t="s">
        <v>14</v>
      </c>
      <c r="B293" t="s">
        <v>3812</v>
      </c>
      <c r="C293" t="s">
        <v>3813</v>
      </c>
      <c r="D293" t="s">
        <v>3814</v>
      </c>
      <c r="E293" t="s">
        <v>3815</v>
      </c>
      <c r="F293" t="s">
        <v>3006</v>
      </c>
      <c r="G293" t="s">
        <v>3816</v>
      </c>
    </row>
    <row r="294" spans="1:7" ht="11.25" customHeight="1">
      <c r="A294" s="300" t="s">
        <v>14</v>
      </c>
      <c r="B294" t="s">
        <v>3812</v>
      </c>
      <c r="C294" t="s">
        <v>3813</v>
      </c>
      <c r="D294" t="s">
        <v>3817</v>
      </c>
      <c r="E294" t="s">
        <v>3818</v>
      </c>
      <c r="F294" t="s">
        <v>3006</v>
      </c>
      <c r="G294" t="s">
        <v>3819</v>
      </c>
    </row>
    <row r="295" spans="1:7" ht="11.25" customHeight="1">
      <c r="A295" s="300" t="s">
        <v>14</v>
      </c>
      <c r="B295" t="s">
        <v>3812</v>
      </c>
      <c r="C295" t="s">
        <v>3813</v>
      </c>
      <c r="D295" t="s">
        <v>3820</v>
      </c>
      <c r="E295" t="s">
        <v>3821</v>
      </c>
      <c r="F295" t="s">
        <v>3006</v>
      </c>
      <c r="G295" t="s">
        <v>3822</v>
      </c>
    </row>
    <row r="296" spans="1:7" ht="11.25" customHeight="1">
      <c r="A296" s="300" t="s">
        <v>14</v>
      </c>
      <c r="B296" t="s">
        <v>3812</v>
      </c>
      <c r="C296" t="s">
        <v>3813</v>
      </c>
      <c r="D296" t="s">
        <v>3823</v>
      </c>
      <c r="E296" t="s">
        <v>3824</v>
      </c>
      <c r="F296" t="s">
        <v>3062</v>
      </c>
      <c r="G296" t="s">
        <v>3825</v>
      </c>
    </row>
    <row r="297" spans="1:7" ht="11.25" customHeight="1">
      <c r="A297" s="300" t="s">
        <v>14</v>
      </c>
      <c r="B297" t="s">
        <v>3812</v>
      </c>
      <c r="C297" t="s">
        <v>3813</v>
      </c>
      <c r="D297" t="s">
        <v>3826</v>
      </c>
      <c r="E297" t="s">
        <v>3827</v>
      </c>
      <c r="F297" t="s">
        <v>3006</v>
      </c>
      <c r="G297" t="s">
        <v>3828</v>
      </c>
    </row>
    <row r="298" spans="1:7" ht="11.25" customHeight="1">
      <c r="A298" s="300" t="s">
        <v>14</v>
      </c>
      <c r="B298" t="s">
        <v>3812</v>
      </c>
      <c r="C298" t="s">
        <v>3813</v>
      </c>
      <c r="D298" t="s">
        <v>3829</v>
      </c>
      <c r="E298" t="s">
        <v>3830</v>
      </c>
      <c r="F298" t="s">
        <v>3006</v>
      </c>
      <c r="G298" t="s">
        <v>3831</v>
      </c>
    </row>
    <row r="299" spans="1:7" ht="11.25" customHeight="1">
      <c r="A299" s="300" t="s">
        <v>14</v>
      </c>
      <c r="B299" t="s">
        <v>3812</v>
      </c>
      <c r="C299" t="s">
        <v>3813</v>
      </c>
      <c r="D299" t="s">
        <v>3832</v>
      </c>
      <c r="E299" t="s">
        <v>3833</v>
      </c>
      <c r="F299" t="s">
        <v>3006</v>
      </c>
      <c r="G299" t="s">
        <v>3834</v>
      </c>
    </row>
    <row r="300" spans="1:7" ht="11.25" customHeight="1">
      <c r="A300" s="300" t="s">
        <v>14</v>
      </c>
      <c r="B300" t="s">
        <v>3812</v>
      </c>
      <c r="C300" t="s">
        <v>3813</v>
      </c>
      <c r="D300" t="s">
        <v>3835</v>
      </c>
      <c r="E300" t="s">
        <v>3836</v>
      </c>
      <c r="F300" t="s">
        <v>3006</v>
      </c>
      <c r="G300" t="s">
        <v>3837</v>
      </c>
    </row>
    <row r="301" spans="1:7" ht="11.25" customHeight="1">
      <c r="A301" s="300" t="s">
        <v>14</v>
      </c>
      <c r="B301" t="s">
        <v>3812</v>
      </c>
      <c r="C301" t="s">
        <v>3813</v>
      </c>
      <c r="D301" t="s">
        <v>3812</v>
      </c>
      <c r="E301" t="s">
        <v>3813</v>
      </c>
      <c r="F301" t="s">
        <v>3007</v>
      </c>
      <c r="G301" t="s">
        <v>3838</v>
      </c>
    </row>
    <row r="302" spans="1:7" ht="11.25" customHeight="1">
      <c r="A302" s="300" t="s">
        <v>14</v>
      </c>
      <c r="B302" t="s">
        <v>3812</v>
      </c>
      <c r="C302" t="s">
        <v>3813</v>
      </c>
      <c r="D302" t="s">
        <v>3839</v>
      </c>
      <c r="E302" t="s">
        <v>3840</v>
      </c>
      <c r="F302" t="s">
        <v>3006</v>
      </c>
      <c r="G302" t="s">
        <v>3841</v>
      </c>
    </row>
    <row r="303" spans="1:7" ht="11.25" customHeight="1">
      <c r="A303" s="300" t="s">
        <v>14</v>
      </c>
      <c r="B303" t="s">
        <v>3812</v>
      </c>
      <c r="C303" t="s">
        <v>3813</v>
      </c>
      <c r="D303" t="s">
        <v>3842</v>
      </c>
      <c r="E303" t="s">
        <v>3843</v>
      </c>
      <c r="F303" t="s">
        <v>3006</v>
      </c>
      <c r="G303" t="s">
        <v>3844</v>
      </c>
    </row>
    <row r="304" spans="1:7" ht="11.25" customHeight="1">
      <c r="A304" s="300" t="s">
        <v>14</v>
      </c>
      <c r="B304" t="s">
        <v>3845</v>
      </c>
      <c r="C304" t="s">
        <v>3846</v>
      </c>
      <c r="D304" t="s">
        <v>3847</v>
      </c>
      <c r="E304" t="s">
        <v>3848</v>
      </c>
      <c r="F304" t="s">
        <v>3006</v>
      </c>
      <c r="G304" t="s">
        <v>3849</v>
      </c>
    </row>
    <row r="305" spans="1:7" ht="11.25" customHeight="1">
      <c r="A305" s="300" t="s">
        <v>14</v>
      </c>
      <c r="B305" t="s">
        <v>3845</v>
      </c>
      <c r="C305" t="s">
        <v>3846</v>
      </c>
      <c r="D305" t="s">
        <v>3850</v>
      </c>
      <c r="E305" t="s">
        <v>3851</v>
      </c>
      <c r="F305" t="s">
        <v>3006</v>
      </c>
      <c r="G305" t="s">
        <v>3852</v>
      </c>
    </row>
    <row r="306" spans="1:7" ht="11.25" customHeight="1">
      <c r="A306" s="300" t="s">
        <v>14</v>
      </c>
      <c r="B306" t="s">
        <v>3845</v>
      </c>
      <c r="C306" t="s">
        <v>3846</v>
      </c>
      <c r="D306" t="s">
        <v>3853</v>
      </c>
      <c r="E306" t="s">
        <v>3854</v>
      </c>
      <c r="F306" t="s">
        <v>3006</v>
      </c>
      <c r="G306" t="s">
        <v>3855</v>
      </c>
    </row>
    <row r="307" spans="1:7" ht="11.25" customHeight="1">
      <c r="A307" s="300" t="s">
        <v>14</v>
      </c>
      <c r="B307" t="s">
        <v>3845</v>
      </c>
      <c r="C307" t="s">
        <v>3846</v>
      </c>
      <c r="D307" t="s">
        <v>3856</v>
      </c>
      <c r="E307" t="s">
        <v>3857</v>
      </c>
      <c r="F307" t="s">
        <v>3006</v>
      </c>
      <c r="G307" t="s">
        <v>3858</v>
      </c>
    </row>
    <row r="308" spans="1:7" ht="11.25" customHeight="1">
      <c r="A308" s="300" t="s">
        <v>14</v>
      </c>
      <c r="B308" t="s">
        <v>3845</v>
      </c>
      <c r="C308" t="s">
        <v>3846</v>
      </c>
      <c r="D308" t="s">
        <v>3859</v>
      </c>
      <c r="E308" t="s">
        <v>3860</v>
      </c>
      <c r="F308" t="s">
        <v>3022</v>
      </c>
      <c r="G308" t="s">
        <v>3861</v>
      </c>
    </row>
    <row r="309" spans="1:7" ht="11.25" customHeight="1">
      <c r="A309" s="300" t="s">
        <v>14</v>
      </c>
      <c r="B309" t="s">
        <v>3845</v>
      </c>
      <c r="C309" t="s">
        <v>3846</v>
      </c>
      <c r="D309" t="s">
        <v>3845</v>
      </c>
      <c r="E309" t="s">
        <v>3846</v>
      </c>
      <c r="F309" t="s">
        <v>3007</v>
      </c>
      <c r="G309" t="s">
        <v>3862</v>
      </c>
    </row>
    <row r="310" spans="1:7" ht="11.25" customHeight="1">
      <c r="A310" s="300" t="s">
        <v>14</v>
      </c>
      <c r="B310" t="s">
        <v>3845</v>
      </c>
      <c r="C310" t="s">
        <v>3846</v>
      </c>
      <c r="D310" t="s">
        <v>3863</v>
      </c>
      <c r="E310" t="s">
        <v>3864</v>
      </c>
      <c r="F310" t="s">
        <v>3006</v>
      </c>
      <c r="G310" t="s">
        <v>3865</v>
      </c>
    </row>
    <row r="311" spans="1:7" ht="11.25" customHeight="1">
      <c r="A311" s="300" t="s">
        <v>14</v>
      </c>
      <c r="B311" t="s">
        <v>3866</v>
      </c>
      <c r="C311" t="s">
        <v>3867</v>
      </c>
      <c r="D311" t="s">
        <v>3868</v>
      </c>
      <c r="E311" t="s">
        <v>3869</v>
      </c>
      <c r="F311" t="s">
        <v>3006</v>
      </c>
      <c r="G311" t="s">
        <v>3870</v>
      </c>
    </row>
    <row r="312" spans="1:7" ht="11.25" customHeight="1">
      <c r="A312" s="300" t="s">
        <v>14</v>
      </c>
      <c r="B312" t="s">
        <v>3866</v>
      </c>
      <c r="C312" t="s">
        <v>3867</v>
      </c>
      <c r="D312" t="s">
        <v>3871</v>
      </c>
      <c r="E312" t="s">
        <v>3872</v>
      </c>
      <c r="F312" t="s">
        <v>3006</v>
      </c>
      <c r="G312" t="s">
        <v>3873</v>
      </c>
    </row>
    <row r="313" spans="1:7" ht="11.25" customHeight="1">
      <c r="A313" s="300" t="s">
        <v>14</v>
      </c>
      <c r="B313" t="s">
        <v>3866</v>
      </c>
      <c r="C313" t="s">
        <v>3867</v>
      </c>
      <c r="D313" t="s">
        <v>3106</v>
      </c>
      <c r="E313" t="s">
        <v>3874</v>
      </c>
      <c r="F313" t="s">
        <v>3006</v>
      </c>
      <c r="G313" t="s">
        <v>3875</v>
      </c>
    </row>
    <row r="314" spans="1:7" ht="11.25" customHeight="1">
      <c r="A314" s="300" t="s">
        <v>14</v>
      </c>
      <c r="B314" t="s">
        <v>3866</v>
      </c>
      <c r="C314" t="s">
        <v>3867</v>
      </c>
      <c r="D314" t="s">
        <v>3876</v>
      </c>
      <c r="E314" t="s">
        <v>3877</v>
      </c>
      <c r="F314" t="s">
        <v>3006</v>
      </c>
      <c r="G314" t="s">
        <v>3878</v>
      </c>
    </row>
    <row r="315" spans="1:7" ht="11.25" customHeight="1">
      <c r="A315" s="300" t="s">
        <v>14</v>
      </c>
      <c r="B315" t="s">
        <v>3866</v>
      </c>
      <c r="C315" t="s">
        <v>3867</v>
      </c>
      <c r="D315" t="s">
        <v>3879</v>
      </c>
      <c r="E315" t="s">
        <v>3880</v>
      </c>
      <c r="F315" t="s">
        <v>3006</v>
      </c>
      <c r="G315" t="s">
        <v>3881</v>
      </c>
    </row>
    <row r="316" spans="1:7" ht="11.25" customHeight="1">
      <c r="A316" s="300" t="s">
        <v>14</v>
      </c>
      <c r="B316" t="s">
        <v>3866</v>
      </c>
      <c r="C316" t="s">
        <v>3867</v>
      </c>
      <c r="D316" t="s">
        <v>3882</v>
      </c>
      <c r="E316" t="s">
        <v>3883</v>
      </c>
      <c r="F316" t="s">
        <v>3006</v>
      </c>
      <c r="G316" t="s">
        <v>3884</v>
      </c>
    </row>
    <row r="317" spans="1:7" ht="11.25" customHeight="1">
      <c r="A317" s="300" t="s">
        <v>14</v>
      </c>
      <c r="B317" t="s">
        <v>3866</v>
      </c>
      <c r="C317" t="s">
        <v>3867</v>
      </c>
      <c r="D317" t="s">
        <v>3885</v>
      </c>
      <c r="E317" t="s">
        <v>3886</v>
      </c>
      <c r="F317" t="s">
        <v>3022</v>
      </c>
      <c r="G317" t="s">
        <v>3887</v>
      </c>
    </row>
    <row r="318" spans="1:7" ht="11.25" customHeight="1">
      <c r="A318" s="300" t="s">
        <v>14</v>
      </c>
      <c r="B318" t="s">
        <v>3866</v>
      </c>
      <c r="C318" t="s">
        <v>3867</v>
      </c>
      <c r="D318" t="s">
        <v>3888</v>
      </c>
      <c r="E318" t="s">
        <v>3889</v>
      </c>
      <c r="F318" t="s">
        <v>3006</v>
      </c>
      <c r="G318" t="s">
        <v>3890</v>
      </c>
    </row>
    <row r="319" spans="1:7" ht="11.25" customHeight="1">
      <c r="A319" s="300" t="s">
        <v>14</v>
      </c>
      <c r="B319" t="s">
        <v>3866</v>
      </c>
      <c r="C319" t="s">
        <v>3867</v>
      </c>
      <c r="D319" t="s">
        <v>3891</v>
      </c>
      <c r="E319" t="s">
        <v>3892</v>
      </c>
      <c r="F319" t="s">
        <v>3006</v>
      </c>
      <c r="G319" t="s">
        <v>3893</v>
      </c>
    </row>
    <row r="320" spans="1:7" ht="11.25" customHeight="1">
      <c r="A320" s="300" t="s">
        <v>14</v>
      </c>
      <c r="B320" t="s">
        <v>3866</v>
      </c>
      <c r="C320" t="s">
        <v>3867</v>
      </c>
      <c r="D320" t="s">
        <v>3894</v>
      </c>
      <c r="E320" t="s">
        <v>3895</v>
      </c>
      <c r="F320" t="s">
        <v>3006</v>
      </c>
      <c r="G320" t="s">
        <v>3896</v>
      </c>
    </row>
    <row r="321" spans="1:7" ht="11.25" customHeight="1">
      <c r="A321" s="300" t="s">
        <v>14</v>
      </c>
      <c r="B321" t="s">
        <v>3866</v>
      </c>
      <c r="C321" t="s">
        <v>3867</v>
      </c>
      <c r="D321" t="s">
        <v>3897</v>
      </c>
      <c r="E321" t="s">
        <v>3898</v>
      </c>
      <c r="F321" t="s">
        <v>3006</v>
      </c>
      <c r="G321" t="s">
        <v>3899</v>
      </c>
    </row>
    <row r="322" spans="1:7" ht="11.25" customHeight="1">
      <c r="A322" s="300" t="s">
        <v>14</v>
      </c>
      <c r="B322" t="s">
        <v>3866</v>
      </c>
      <c r="C322" t="s">
        <v>3867</v>
      </c>
      <c r="D322" t="s">
        <v>3900</v>
      </c>
      <c r="E322" t="s">
        <v>3901</v>
      </c>
      <c r="F322" t="s">
        <v>3006</v>
      </c>
      <c r="G322" t="s">
        <v>3902</v>
      </c>
    </row>
    <row r="323" spans="1:7" ht="11.25" customHeight="1">
      <c r="A323" s="300" t="s">
        <v>14</v>
      </c>
      <c r="B323" t="s">
        <v>3866</v>
      </c>
      <c r="C323" t="s">
        <v>3867</v>
      </c>
      <c r="D323" t="s">
        <v>3903</v>
      </c>
      <c r="E323" t="s">
        <v>3904</v>
      </c>
      <c r="F323" t="s">
        <v>3006</v>
      </c>
      <c r="G323" t="s">
        <v>3905</v>
      </c>
    </row>
    <row r="324" spans="1:7" ht="11.25" customHeight="1">
      <c r="A324" s="300" t="s">
        <v>14</v>
      </c>
      <c r="B324" t="s">
        <v>3866</v>
      </c>
      <c r="C324" t="s">
        <v>3867</v>
      </c>
      <c r="D324" t="s">
        <v>3866</v>
      </c>
      <c r="E324" t="s">
        <v>3867</v>
      </c>
      <c r="F324" t="s">
        <v>3007</v>
      </c>
      <c r="G324" t="s">
        <v>3906</v>
      </c>
    </row>
    <row r="325" spans="1:7" ht="11.25" customHeight="1">
      <c r="A325" s="300" t="s">
        <v>14</v>
      </c>
      <c r="B325" t="s">
        <v>3907</v>
      </c>
      <c r="C325" t="s">
        <v>3908</v>
      </c>
      <c r="D325" t="s">
        <v>3907</v>
      </c>
      <c r="E325" t="s">
        <v>3908</v>
      </c>
      <c r="F325" t="s">
        <v>3161</v>
      </c>
      <c r="G325" t="s">
        <v>3909</v>
      </c>
    </row>
    <row r="326" spans="1:7" ht="11.25" customHeight="1">
      <c r="A326" s="300" t="s">
        <v>14</v>
      </c>
      <c r="B326" t="s">
        <v>3910</v>
      </c>
      <c r="C326" t="s">
        <v>3911</v>
      </c>
      <c r="D326" t="s">
        <v>3910</v>
      </c>
      <c r="E326" t="s">
        <v>3911</v>
      </c>
      <c r="F326" t="s">
        <v>3161</v>
      </c>
      <c r="G326" t="s">
        <v>3912</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2"/>
  <sheetViews>
    <sheetView showGridLines="0" workbookViewId="0"/>
  </sheetViews>
  <sheetFormatPr defaultColWidth="9.140625" defaultRowHeight="11.25" customHeight="1"/>
  <cols>
    <col min="1" max="4" width="9.140625" style="1977"/>
  </cols>
  <sheetData>
    <row r="1" spans="1:4" ht="11.25" customHeight="1">
      <c r="A1" s="753" t="s">
        <v>3913</v>
      </c>
      <c r="B1" s="753" t="s">
        <v>3914</v>
      </c>
      <c r="C1" s="753" t="s">
        <v>3915</v>
      </c>
      <c r="D1" s="753" t="s">
        <v>3916</v>
      </c>
    </row>
    <row r="2" spans="1:4" ht="11.25" customHeight="1">
      <c r="A2" s="1978" t="s">
        <v>91</v>
      </c>
      <c r="B2" s="1978" t="s">
        <v>3917</v>
      </c>
      <c r="C2" s="1978" t="s">
        <v>3918</v>
      </c>
      <c r="D2" s="1978" t="s">
        <v>3919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979"/>
  </cols>
  <sheetData>
    <row r="1" spans="1:2" ht="11.25" customHeight="1">
      <c r="A1" s="104" t="s">
        <v>112</v>
      </c>
      <c r="B1" s="104" t="s">
        <v>3920</v>
      </c>
    </row>
    <row r="2" spans="1:2" ht="11.25" customHeight="1">
      <c r="A2" s="1" t="s">
        <v>83</v>
      </c>
      <c r="B2" s="1" t="s">
        <v>3921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977"/>
    <col min="2" max="2" width="65.28515625" style="1977" customWidth="1"/>
  </cols>
  <sheetData>
    <row r="1" spans="1:2" ht="11.25" customHeight="1">
      <c r="A1" s="753" t="s">
        <v>3922</v>
      </c>
      <c r="B1" s="753" t="s">
        <v>3923</v>
      </c>
    </row>
    <row r="2" spans="1:2" ht="11.25" customHeight="1">
      <c r="A2" s="753">
        <v>4213775</v>
      </c>
      <c r="B2" s="753" t="s">
        <v>1191</v>
      </c>
    </row>
    <row r="3" spans="1:2" ht="11.25" customHeight="1">
      <c r="A3" s="753">
        <v>4213784</v>
      </c>
      <c r="B3" s="753" t="s">
        <v>1226</v>
      </c>
    </row>
    <row r="4" spans="1:2" ht="11.25" customHeight="1">
      <c r="A4" s="753">
        <v>4213781</v>
      </c>
      <c r="B4" s="753" t="s">
        <v>1219</v>
      </c>
    </row>
    <row r="5" spans="1:2" ht="11.25" customHeight="1">
      <c r="A5" s="753">
        <v>4213776</v>
      </c>
      <c r="B5" s="753" t="s">
        <v>148</v>
      </c>
    </row>
    <row r="6" spans="1:2" ht="11.25" customHeight="1">
      <c r="A6" s="753">
        <v>4213777</v>
      </c>
      <c r="B6" s="753" t="s">
        <v>154</v>
      </c>
    </row>
    <row r="7" spans="1:2" ht="11.25" customHeight="1">
      <c r="A7" s="753">
        <v>4213778</v>
      </c>
      <c r="B7" s="753" t="s">
        <v>160</v>
      </c>
    </row>
    <row r="8" spans="1:2" ht="11.25" customHeight="1">
      <c r="A8" s="753">
        <v>4213780</v>
      </c>
      <c r="B8" s="753" t="s">
        <v>166</v>
      </c>
    </row>
    <row r="9" spans="1:2" ht="11.25" customHeight="1">
      <c r="A9" s="753">
        <v>4213779</v>
      </c>
      <c r="B9" s="753" t="s">
        <v>1359</v>
      </c>
    </row>
    <row r="10" spans="1:2" ht="11.25" customHeight="1">
      <c r="A10" s="753">
        <v>4213783</v>
      </c>
      <c r="B10" s="753" t="s">
        <v>1374</v>
      </c>
    </row>
    <row r="11" spans="1:2" ht="11.25" customHeight="1">
      <c r="A11" s="753">
        <v>4213782</v>
      </c>
      <c r="B11" s="753" t="s">
        <v>172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4"/>
  <sheetViews>
    <sheetView showGridLines="0" workbookViewId="0"/>
  </sheetViews>
  <sheetFormatPr defaultColWidth="9.140625" defaultRowHeight="11.25" customHeight="1"/>
  <cols>
    <col min="1" max="1" width="9.140625" style="1977"/>
    <col min="2" max="2" width="65.28515625" style="1977" customWidth="1"/>
  </cols>
  <sheetData>
    <row r="1" spans="1:2" ht="11.25" customHeight="1">
      <c r="A1" s="753" t="s">
        <v>3922</v>
      </c>
      <c r="B1" s="753" t="s">
        <v>3924</v>
      </c>
    </row>
    <row r="2" spans="1:2" ht="11.25" customHeight="1">
      <c r="A2" s="753" t="s">
        <v>3925</v>
      </c>
      <c r="B2" s="753" t="s">
        <v>1474</v>
      </c>
    </row>
    <row r="3" spans="1:2" ht="11.25" customHeight="1">
      <c r="A3" s="753" t="s">
        <v>3926</v>
      </c>
      <c r="B3" s="753" t="s">
        <v>1483</v>
      </c>
    </row>
    <row r="4" spans="1:2" ht="11.25" customHeight="1">
      <c r="A4" s="753" t="s">
        <v>3927</v>
      </c>
      <c r="B4" s="753" t="s">
        <v>1493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708"/>
  <sheetViews>
    <sheetView showGridLines="0" workbookViewId="0"/>
  </sheetViews>
  <sheetFormatPr defaultRowHeight="11.25" customHeight="1"/>
  <sheetData>
    <row r="1" spans="1:4" ht="11.25" customHeight="1">
      <c r="A1" s="300" t="s">
        <v>3001</v>
      </c>
      <c r="B1" s="300" t="s">
        <v>2996</v>
      </c>
      <c r="C1" s="300" t="s">
        <v>2998</v>
      </c>
      <c r="D1" s="300" t="s">
        <v>2999</v>
      </c>
    </row>
    <row r="2" spans="1:4" ht="11.25" customHeight="1">
      <c r="A2">
        <v>1</v>
      </c>
      <c r="B2" t="s">
        <v>3928</v>
      </c>
      <c r="C2" t="s">
        <v>3928</v>
      </c>
      <c r="D2" t="s">
        <v>3929</v>
      </c>
    </row>
    <row r="3" spans="1:4" ht="11.25" customHeight="1">
      <c r="A3">
        <v>2</v>
      </c>
      <c r="B3" t="s">
        <v>3928</v>
      </c>
      <c r="C3" t="s">
        <v>3930</v>
      </c>
      <c r="D3" t="s">
        <v>3931</v>
      </c>
    </row>
    <row r="4" spans="1:4" ht="11.25" customHeight="1">
      <c r="A4">
        <v>3</v>
      </c>
      <c r="B4" t="s">
        <v>3928</v>
      </c>
      <c r="C4" t="s">
        <v>3932</v>
      </c>
      <c r="D4" t="s">
        <v>3933</v>
      </c>
    </row>
    <row r="5" spans="1:4" ht="11.25" customHeight="1">
      <c r="A5">
        <v>4</v>
      </c>
      <c r="B5" t="s">
        <v>3928</v>
      </c>
      <c r="C5" t="s">
        <v>3934</v>
      </c>
      <c r="D5" t="s">
        <v>3935</v>
      </c>
    </row>
    <row r="6" spans="1:4" ht="11.25" customHeight="1">
      <c r="A6">
        <v>5</v>
      </c>
      <c r="B6" t="s">
        <v>3928</v>
      </c>
      <c r="C6" t="s">
        <v>3936</v>
      </c>
      <c r="D6" t="s">
        <v>3937</v>
      </c>
    </row>
    <row r="7" spans="1:4" ht="11.25" customHeight="1">
      <c r="A7">
        <v>6</v>
      </c>
      <c r="B7" t="s">
        <v>3928</v>
      </c>
      <c r="C7" t="s">
        <v>3938</v>
      </c>
      <c r="D7" t="s">
        <v>3939</v>
      </c>
    </row>
    <row r="8" spans="1:4" ht="11.25" customHeight="1">
      <c r="A8">
        <v>7</v>
      </c>
      <c r="B8" t="s">
        <v>3928</v>
      </c>
      <c r="C8" t="s">
        <v>3940</v>
      </c>
      <c r="D8" t="s">
        <v>3941</v>
      </c>
    </row>
    <row r="9" spans="1:4" ht="11.25" customHeight="1">
      <c r="A9">
        <v>8</v>
      </c>
      <c r="B9" t="s">
        <v>3928</v>
      </c>
      <c r="C9" t="s">
        <v>3942</v>
      </c>
      <c r="D9" t="s">
        <v>3943</v>
      </c>
    </row>
    <row r="10" spans="1:4" ht="11.25" customHeight="1">
      <c r="A10">
        <v>9</v>
      </c>
      <c r="B10" t="s">
        <v>3928</v>
      </c>
      <c r="C10" t="s">
        <v>3944</v>
      </c>
      <c r="D10" t="s">
        <v>3945</v>
      </c>
    </row>
    <row r="11" spans="1:4" ht="11.25" customHeight="1">
      <c r="A11">
        <v>10</v>
      </c>
      <c r="B11" t="s">
        <v>3928</v>
      </c>
      <c r="C11" t="s">
        <v>3946</v>
      </c>
      <c r="D11" t="s">
        <v>3947</v>
      </c>
    </row>
    <row r="12" spans="1:4" ht="11.25" customHeight="1">
      <c r="A12">
        <v>11</v>
      </c>
      <c r="B12" t="s">
        <v>3928</v>
      </c>
      <c r="C12" t="s">
        <v>3948</v>
      </c>
      <c r="D12" t="s">
        <v>3949</v>
      </c>
    </row>
    <row r="13" spans="1:4" ht="11.25" customHeight="1">
      <c r="A13">
        <v>13</v>
      </c>
      <c r="B13" t="s">
        <v>3928</v>
      </c>
      <c r="C13" t="s">
        <v>3950</v>
      </c>
      <c r="D13" t="s">
        <v>3951</v>
      </c>
    </row>
    <row r="14" spans="1:4" ht="11.25" customHeight="1">
      <c r="A14">
        <v>14</v>
      </c>
      <c r="B14" t="s">
        <v>3928</v>
      </c>
      <c r="C14" t="s">
        <v>3952</v>
      </c>
      <c r="D14" t="s">
        <v>3953</v>
      </c>
    </row>
    <row r="15" spans="1:4" ht="11.25" customHeight="1">
      <c r="A15">
        <v>15</v>
      </c>
      <c r="B15" t="s">
        <v>3928</v>
      </c>
      <c r="C15" t="s">
        <v>3954</v>
      </c>
      <c r="D15" t="s">
        <v>3955</v>
      </c>
    </row>
    <row r="16" spans="1:4" ht="11.25" customHeight="1">
      <c r="A16">
        <v>16</v>
      </c>
      <c r="B16" t="s">
        <v>3928</v>
      </c>
      <c r="C16" t="s">
        <v>3956</v>
      </c>
      <c r="D16" t="s">
        <v>3957</v>
      </c>
    </row>
    <row r="17" spans="1:4" ht="11.25" customHeight="1">
      <c r="A17">
        <v>17</v>
      </c>
      <c r="B17" t="s">
        <v>3928</v>
      </c>
      <c r="C17" t="s">
        <v>3958</v>
      </c>
      <c r="D17" t="s">
        <v>3959</v>
      </c>
    </row>
    <row r="18" spans="1:4" ht="11.25" customHeight="1">
      <c r="A18">
        <v>18</v>
      </c>
      <c r="B18" t="s">
        <v>3928</v>
      </c>
      <c r="C18" t="s">
        <v>3960</v>
      </c>
      <c r="D18" t="s">
        <v>3961</v>
      </c>
    </row>
    <row r="19" spans="1:4" ht="11.25" customHeight="1">
      <c r="A19">
        <v>19</v>
      </c>
      <c r="B19" t="s">
        <v>3928</v>
      </c>
      <c r="C19" t="s">
        <v>3962</v>
      </c>
      <c r="D19" t="s">
        <v>3963</v>
      </c>
    </row>
    <row r="20" spans="1:4" ht="11.25" customHeight="1">
      <c r="A20">
        <v>20</v>
      </c>
      <c r="B20" t="s">
        <v>3928</v>
      </c>
      <c r="C20" t="s">
        <v>3964</v>
      </c>
      <c r="D20" t="s">
        <v>3965</v>
      </c>
    </row>
    <row r="21" spans="1:4" ht="11.25" customHeight="1">
      <c r="A21">
        <v>21</v>
      </c>
      <c r="B21" t="s">
        <v>3966</v>
      </c>
      <c r="C21" t="s">
        <v>3967</v>
      </c>
      <c r="D21" t="s">
        <v>3968</v>
      </c>
    </row>
    <row r="22" spans="1:4" ht="11.25" customHeight="1">
      <c r="A22">
        <v>22</v>
      </c>
      <c r="B22" t="s">
        <v>3966</v>
      </c>
      <c r="C22" t="s">
        <v>3966</v>
      </c>
      <c r="D22" t="s">
        <v>3969</v>
      </c>
    </row>
    <row r="23" spans="1:4" ht="11.25" customHeight="1">
      <c r="A23">
        <v>23</v>
      </c>
      <c r="B23" t="s">
        <v>3966</v>
      </c>
      <c r="C23" t="s">
        <v>3970</v>
      </c>
      <c r="D23" t="s">
        <v>3971</v>
      </c>
    </row>
    <row r="24" spans="1:4" ht="11.25" customHeight="1">
      <c r="A24">
        <v>24</v>
      </c>
      <c r="B24" t="s">
        <v>3966</v>
      </c>
      <c r="C24" t="s">
        <v>3972</v>
      </c>
      <c r="D24" t="s">
        <v>3973</v>
      </c>
    </row>
    <row r="25" spans="1:4" ht="11.25" customHeight="1">
      <c r="A25">
        <v>25</v>
      </c>
      <c r="B25" t="s">
        <v>3966</v>
      </c>
      <c r="C25" t="s">
        <v>3974</v>
      </c>
      <c r="D25" t="s">
        <v>3975</v>
      </c>
    </row>
    <row r="26" spans="1:4" ht="11.25" customHeight="1">
      <c r="A26">
        <v>26</v>
      </c>
      <c r="B26" t="s">
        <v>3966</v>
      </c>
      <c r="C26" t="s">
        <v>3976</v>
      </c>
      <c r="D26" t="s">
        <v>3977</v>
      </c>
    </row>
    <row r="27" spans="1:4" ht="11.25" customHeight="1">
      <c r="A27">
        <v>27</v>
      </c>
      <c r="B27" t="s">
        <v>3966</v>
      </c>
      <c r="C27" t="s">
        <v>3978</v>
      </c>
      <c r="D27" t="s">
        <v>3979</v>
      </c>
    </row>
    <row r="28" spans="1:4" ht="11.25" customHeight="1">
      <c r="A28">
        <v>28</v>
      </c>
      <c r="B28" t="s">
        <v>3966</v>
      </c>
      <c r="C28" t="s">
        <v>3980</v>
      </c>
      <c r="D28" t="s">
        <v>3981</v>
      </c>
    </row>
    <row r="29" spans="1:4" ht="11.25" customHeight="1">
      <c r="A29">
        <v>29</v>
      </c>
      <c r="B29" t="s">
        <v>3966</v>
      </c>
      <c r="C29" t="s">
        <v>3982</v>
      </c>
      <c r="D29" t="s">
        <v>3983</v>
      </c>
    </row>
    <row r="30" spans="1:4" ht="11.25" customHeight="1">
      <c r="A30">
        <v>30</v>
      </c>
      <c r="B30" t="s">
        <v>3966</v>
      </c>
      <c r="C30" t="s">
        <v>3984</v>
      </c>
      <c r="D30" t="s">
        <v>3985</v>
      </c>
    </row>
    <row r="31" spans="1:4" ht="11.25" customHeight="1">
      <c r="A31">
        <v>31</v>
      </c>
      <c r="B31" t="s">
        <v>3966</v>
      </c>
      <c r="C31" t="s">
        <v>3986</v>
      </c>
      <c r="D31" t="s">
        <v>3987</v>
      </c>
    </row>
    <row r="32" spans="1:4" ht="11.25" customHeight="1">
      <c r="A32">
        <v>32</v>
      </c>
      <c r="B32" t="s">
        <v>3988</v>
      </c>
      <c r="C32" t="s">
        <v>3988</v>
      </c>
      <c r="D32" t="s">
        <v>3989</v>
      </c>
    </row>
    <row r="33" spans="1:4" ht="11.25" customHeight="1">
      <c r="A33">
        <v>33</v>
      </c>
      <c r="B33" t="s">
        <v>3988</v>
      </c>
      <c r="C33" t="s">
        <v>3990</v>
      </c>
      <c r="D33" t="s">
        <v>3991</v>
      </c>
    </row>
    <row r="34" spans="1:4" ht="11.25" customHeight="1">
      <c r="A34">
        <v>34</v>
      </c>
      <c r="B34" t="s">
        <v>3988</v>
      </c>
      <c r="C34" t="s">
        <v>3992</v>
      </c>
      <c r="D34" t="s">
        <v>3993</v>
      </c>
    </row>
    <row r="35" spans="1:4" ht="11.25" customHeight="1">
      <c r="A35">
        <v>35</v>
      </c>
      <c r="B35" t="s">
        <v>3988</v>
      </c>
      <c r="C35" t="s">
        <v>3994</v>
      </c>
      <c r="D35" t="s">
        <v>3995</v>
      </c>
    </row>
    <row r="36" spans="1:4" ht="11.25" customHeight="1">
      <c r="A36">
        <v>36</v>
      </c>
      <c r="B36" t="s">
        <v>3988</v>
      </c>
      <c r="C36" t="s">
        <v>3996</v>
      </c>
      <c r="D36" t="s">
        <v>3997</v>
      </c>
    </row>
    <row r="37" spans="1:4" ht="11.25" customHeight="1">
      <c r="A37">
        <v>37</v>
      </c>
      <c r="B37" t="s">
        <v>3988</v>
      </c>
      <c r="C37" t="s">
        <v>3998</v>
      </c>
      <c r="D37" t="s">
        <v>3999</v>
      </c>
    </row>
    <row r="38" spans="1:4" ht="11.25" customHeight="1">
      <c r="A38">
        <v>38</v>
      </c>
      <c r="B38" t="s">
        <v>3988</v>
      </c>
      <c r="C38" t="s">
        <v>3954</v>
      </c>
      <c r="D38" t="s">
        <v>4000</v>
      </c>
    </row>
    <row r="39" spans="1:4" ht="11.25" customHeight="1">
      <c r="A39">
        <v>39</v>
      </c>
      <c r="B39" t="s">
        <v>3988</v>
      </c>
      <c r="C39" t="s">
        <v>4001</v>
      </c>
      <c r="D39" t="s">
        <v>4002</v>
      </c>
    </row>
    <row r="40" spans="1:4" ht="11.25" customHeight="1">
      <c r="A40">
        <v>40</v>
      </c>
      <c r="B40" t="s">
        <v>3988</v>
      </c>
      <c r="C40" t="s">
        <v>4003</v>
      </c>
      <c r="D40" t="s">
        <v>4004</v>
      </c>
    </row>
    <row r="41" spans="1:4" ht="11.25" customHeight="1">
      <c r="A41">
        <v>41</v>
      </c>
      <c r="B41" t="s">
        <v>4005</v>
      </c>
      <c r="C41" t="s">
        <v>4005</v>
      </c>
      <c r="D41" t="s">
        <v>4006</v>
      </c>
    </row>
    <row r="42" spans="1:4" ht="11.25" customHeight="1">
      <c r="A42">
        <v>42</v>
      </c>
      <c r="B42" t="s">
        <v>4005</v>
      </c>
      <c r="C42" t="s">
        <v>4007</v>
      </c>
      <c r="D42" t="s">
        <v>4008</v>
      </c>
    </row>
    <row r="43" spans="1:4" ht="11.25" customHeight="1">
      <c r="A43">
        <v>43</v>
      </c>
      <c r="B43" t="s">
        <v>4005</v>
      </c>
      <c r="C43" t="s">
        <v>4009</v>
      </c>
      <c r="D43" t="s">
        <v>4010</v>
      </c>
    </row>
    <row r="44" spans="1:4" ht="11.25" customHeight="1">
      <c r="A44">
        <v>44</v>
      </c>
      <c r="B44" t="s">
        <v>4005</v>
      </c>
      <c r="C44" t="s">
        <v>4011</v>
      </c>
      <c r="D44" t="s">
        <v>4012</v>
      </c>
    </row>
    <row r="45" spans="1:4" ht="11.25" customHeight="1">
      <c r="A45">
        <v>45</v>
      </c>
      <c r="B45" t="s">
        <v>4005</v>
      </c>
      <c r="C45" t="s">
        <v>4013</v>
      </c>
      <c r="D45" t="s">
        <v>4014</v>
      </c>
    </row>
    <row r="46" spans="1:4" ht="11.25" customHeight="1">
      <c r="A46">
        <v>46</v>
      </c>
      <c r="B46" t="s">
        <v>4005</v>
      </c>
      <c r="C46" t="s">
        <v>4015</v>
      </c>
      <c r="D46" t="s">
        <v>4016</v>
      </c>
    </row>
    <row r="47" spans="1:4" ht="11.25" customHeight="1">
      <c r="A47">
        <v>47</v>
      </c>
      <c r="B47" t="s">
        <v>4005</v>
      </c>
      <c r="C47" t="s">
        <v>4017</v>
      </c>
      <c r="D47" t="s">
        <v>4018</v>
      </c>
    </row>
    <row r="48" spans="1:4" ht="11.25" customHeight="1">
      <c r="A48">
        <v>48</v>
      </c>
      <c r="B48" t="s">
        <v>4005</v>
      </c>
      <c r="C48" t="s">
        <v>4019</v>
      </c>
      <c r="D48" t="s">
        <v>4020</v>
      </c>
    </row>
    <row r="49" spans="1:4" ht="11.25" customHeight="1">
      <c r="A49">
        <v>49</v>
      </c>
      <c r="B49" t="s">
        <v>4005</v>
      </c>
      <c r="C49" t="s">
        <v>4021</v>
      </c>
      <c r="D49" t="s">
        <v>4022</v>
      </c>
    </row>
    <row r="50" spans="1:4" ht="11.25" customHeight="1">
      <c r="A50">
        <v>50</v>
      </c>
      <c r="B50" t="s">
        <v>4005</v>
      </c>
      <c r="C50" t="s">
        <v>4023</v>
      </c>
      <c r="D50" t="s">
        <v>4024</v>
      </c>
    </row>
    <row r="51" spans="1:4" ht="11.25" customHeight="1">
      <c r="A51">
        <v>51</v>
      </c>
      <c r="B51" t="s">
        <v>4005</v>
      </c>
      <c r="C51" t="s">
        <v>4025</v>
      </c>
      <c r="D51" t="s">
        <v>4026</v>
      </c>
    </row>
    <row r="52" spans="1:4" ht="11.25" customHeight="1">
      <c r="A52">
        <v>52</v>
      </c>
      <c r="B52" t="s">
        <v>4005</v>
      </c>
      <c r="C52" t="s">
        <v>4027</v>
      </c>
      <c r="D52" t="s">
        <v>4028</v>
      </c>
    </row>
    <row r="53" spans="1:4" ht="11.25" customHeight="1">
      <c r="A53">
        <v>53</v>
      </c>
      <c r="B53" t="s">
        <v>4005</v>
      </c>
      <c r="C53" t="s">
        <v>4029</v>
      </c>
      <c r="D53" t="s">
        <v>4030</v>
      </c>
    </row>
    <row r="54" spans="1:4" ht="11.25" customHeight="1">
      <c r="A54">
        <v>54</v>
      </c>
      <c r="B54" t="s">
        <v>4005</v>
      </c>
      <c r="C54" t="s">
        <v>4031</v>
      </c>
      <c r="D54" t="s">
        <v>4032</v>
      </c>
    </row>
    <row r="55" spans="1:4" ht="11.25" customHeight="1">
      <c r="A55">
        <v>55</v>
      </c>
      <c r="B55" t="s">
        <v>4005</v>
      </c>
      <c r="C55" t="s">
        <v>4033</v>
      </c>
      <c r="D55" t="s">
        <v>4034</v>
      </c>
    </row>
    <row r="56" spans="1:4" ht="11.25" customHeight="1">
      <c r="A56">
        <v>56</v>
      </c>
      <c r="B56" t="s">
        <v>4005</v>
      </c>
      <c r="C56" t="s">
        <v>4035</v>
      </c>
      <c r="D56" t="s">
        <v>4036</v>
      </c>
    </row>
    <row r="57" spans="1:4" ht="11.25" customHeight="1">
      <c r="A57">
        <v>57</v>
      </c>
      <c r="B57" t="s">
        <v>4037</v>
      </c>
      <c r="C57" t="s">
        <v>4038</v>
      </c>
      <c r="D57" t="s">
        <v>4039</v>
      </c>
    </row>
    <row r="58" spans="1:4" ht="11.25" customHeight="1">
      <c r="A58">
        <v>58</v>
      </c>
      <c r="B58" t="s">
        <v>4037</v>
      </c>
      <c r="C58" t="s">
        <v>4037</v>
      </c>
      <c r="D58" t="s">
        <v>4040</v>
      </c>
    </row>
    <row r="59" spans="1:4" ht="11.25" customHeight="1">
      <c r="A59">
        <v>59</v>
      </c>
      <c r="B59" t="s">
        <v>4037</v>
      </c>
      <c r="C59" t="s">
        <v>4041</v>
      </c>
      <c r="D59" t="s">
        <v>4042</v>
      </c>
    </row>
    <row r="60" spans="1:4" ht="11.25" customHeight="1">
      <c r="A60">
        <v>60</v>
      </c>
      <c r="B60" t="s">
        <v>4037</v>
      </c>
      <c r="C60" t="s">
        <v>4043</v>
      </c>
      <c r="D60" t="s">
        <v>4044</v>
      </c>
    </row>
    <row r="61" spans="1:4" ht="11.25" customHeight="1">
      <c r="A61">
        <v>61</v>
      </c>
      <c r="B61" t="s">
        <v>4037</v>
      </c>
      <c r="C61" t="s">
        <v>4045</v>
      </c>
      <c r="D61" t="s">
        <v>4046</v>
      </c>
    </row>
    <row r="62" spans="1:4" ht="11.25" customHeight="1">
      <c r="A62">
        <v>62</v>
      </c>
      <c r="B62" t="s">
        <v>4037</v>
      </c>
      <c r="C62" t="s">
        <v>4047</v>
      </c>
      <c r="D62" t="s">
        <v>4048</v>
      </c>
    </row>
    <row r="63" spans="1:4" ht="11.25" customHeight="1">
      <c r="A63">
        <v>63</v>
      </c>
      <c r="B63" t="s">
        <v>4037</v>
      </c>
      <c r="C63" t="s">
        <v>4049</v>
      </c>
      <c r="D63" t="s">
        <v>4050</v>
      </c>
    </row>
    <row r="64" spans="1:4" ht="11.25" customHeight="1">
      <c r="A64">
        <v>64</v>
      </c>
      <c r="B64" t="s">
        <v>4037</v>
      </c>
      <c r="C64" t="s">
        <v>4051</v>
      </c>
      <c r="D64" t="s">
        <v>4052</v>
      </c>
    </row>
    <row r="65" spans="1:4" ht="11.25" customHeight="1">
      <c r="A65">
        <v>65</v>
      </c>
      <c r="B65" t="s">
        <v>4037</v>
      </c>
      <c r="C65" t="s">
        <v>4053</v>
      </c>
      <c r="D65" t="s">
        <v>4054</v>
      </c>
    </row>
    <row r="66" spans="1:4" ht="11.25" customHeight="1">
      <c r="A66">
        <v>66</v>
      </c>
      <c r="B66" t="s">
        <v>4037</v>
      </c>
      <c r="C66" t="s">
        <v>4055</v>
      </c>
      <c r="D66" t="s">
        <v>4056</v>
      </c>
    </row>
    <row r="67" spans="1:4" ht="11.25" customHeight="1">
      <c r="A67">
        <v>67</v>
      </c>
      <c r="B67" t="s">
        <v>4037</v>
      </c>
      <c r="C67" t="s">
        <v>4057</v>
      </c>
      <c r="D67" t="s">
        <v>4058</v>
      </c>
    </row>
    <row r="68" spans="1:4" ht="11.25" customHeight="1">
      <c r="A68">
        <v>68</v>
      </c>
      <c r="B68" t="s">
        <v>4037</v>
      </c>
      <c r="C68" t="s">
        <v>4059</v>
      </c>
      <c r="D68" t="s">
        <v>4060</v>
      </c>
    </row>
    <row r="69" spans="1:4" ht="11.25" customHeight="1">
      <c r="A69">
        <v>69</v>
      </c>
      <c r="B69" t="s">
        <v>4037</v>
      </c>
      <c r="C69" t="s">
        <v>4061</v>
      </c>
      <c r="D69" t="s">
        <v>4062</v>
      </c>
    </row>
    <row r="70" spans="1:4" ht="11.25" customHeight="1">
      <c r="A70">
        <v>70</v>
      </c>
      <c r="B70" t="s">
        <v>4063</v>
      </c>
      <c r="C70" t="s">
        <v>4063</v>
      </c>
      <c r="D70" t="s">
        <v>4064</v>
      </c>
    </row>
    <row r="71" spans="1:4" ht="11.25" customHeight="1">
      <c r="A71">
        <v>71</v>
      </c>
      <c r="B71" t="s">
        <v>4063</v>
      </c>
      <c r="C71" t="s">
        <v>4065</v>
      </c>
      <c r="D71" t="s">
        <v>4066</v>
      </c>
    </row>
    <row r="72" spans="1:4" ht="11.25" customHeight="1">
      <c r="A72">
        <v>72</v>
      </c>
      <c r="B72" t="s">
        <v>4063</v>
      </c>
      <c r="C72" t="s">
        <v>4067</v>
      </c>
      <c r="D72" t="s">
        <v>4068</v>
      </c>
    </row>
    <row r="73" spans="1:4" ht="11.25" customHeight="1">
      <c r="A73">
        <v>73</v>
      </c>
      <c r="B73" t="s">
        <v>4063</v>
      </c>
      <c r="C73" t="s">
        <v>4069</v>
      </c>
      <c r="D73" t="s">
        <v>4070</v>
      </c>
    </row>
    <row r="74" spans="1:4" ht="11.25" customHeight="1">
      <c r="A74">
        <v>74</v>
      </c>
      <c r="B74" t="s">
        <v>4063</v>
      </c>
      <c r="C74" t="s">
        <v>4071</v>
      </c>
      <c r="D74" t="s">
        <v>4072</v>
      </c>
    </row>
    <row r="75" spans="1:4" ht="11.25" customHeight="1">
      <c r="A75">
        <v>75</v>
      </c>
      <c r="B75" t="s">
        <v>4063</v>
      </c>
      <c r="C75" t="s">
        <v>4073</v>
      </c>
      <c r="D75" t="s">
        <v>4074</v>
      </c>
    </row>
    <row r="76" spans="1:4" ht="11.25" customHeight="1">
      <c r="A76">
        <v>76</v>
      </c>
      <c r="B76" t="s">
        <v>4063</v>
      </c>
      <c r="C76" t="s">
        <v>4075</v>
      </c>
      <c r="D76" t="s">
        <v>4076</v>
      </c>
    </row>
    <row r="77" spans="1:4" ht="11.25" customHeight="1">
      <c r="A77">
        <v>77</v>
      </c>
      <c r="B77" t="s">
        <v>4063</v>
      </c>
      <c r="C77" t="s">
        <v>4077</v>
      </c>
      <c r="D77" t="s">
        <v>4078</v>
      </c>
    </row>
    <row r="78" spans="1:4" ht="11.25" customHeight="1">
      <c r="A78">
        <v>78</v>
      </c>
      <c r="B78" t="s">
        <v>4063</v>
      </c>
      <c r="C78" t="s">
        <v>4079</v>
      </c>
      <c r="D78" t="s">
        <v>4080</v>
      </c>
    </row>
    <row r="79" spans="1:4" ht="11.25" customHeight="1">
      <c r="A79">
        <v>79</v>
      </c>
      <c r="B79" t="s">
        <v>4063</v>
      </c>
      <c r="C79" t="s">
        <v>4081</v>
      </c>
      <c r="D79" t="s">
        <v>4082</v>
      </c>
    </row>
    <row r="80" spans="1:4" ht="11.25" customHeight="1">
      <c r="A80">
        <v>80</v>
      </c>
      <c r="B80" t="s">
        <v>4083</v>
      </c>
      <c r="C80" t="s">
        <v>4084</v>
      </c>
      <c r="D80" t="s">
        <v>4085</v>
      </c>
    </row>
    <row r="81" spans="1:4" ht="11.25" customHeight="1">
      <c r="A81">
        <v>81</v>
      </c>
      <c r="B81" t="s">
        <v>4083</v>
      </c>
      <c r="C81" t="s">
        <v>4083</v>
      </c>
      <c r="D81" t="s">
        <v>4086</v>
      </c>
    </row>
    <row r="82" spans="1:4" ht="11.25" customHeight="1">
      <c r="A82">
        <v>82</v>
      </c>
      <c r="B82" t="s">
        <v>4083</v>
      </c>
      <c r="C82" t="s">
        <v>4087</v>
      </c>
      <c r="D82" t="s">
        <v>4088</v>
      </c>
    </row>
    <row r="83" spans="1:4" ht="11.25" customHeight="1">
      <c r="A83">
        <v>83</v>
      </c>
      <c r="B83" t="s">
        <v>4083</v>
      </c>
      <c r="C83" t="s">
        <v>4089</v>
      </c>
      <c r="D83" t="s">
        <v>4090</v>
      </c>
    </row>
    <row r="84" spans="1:4" ht="11.25" customHeight="1">
      <c r="A84">
        <v>84</v>
      </c>
      <c r="B84" t="s">
        <v>4083</v>
      </c>
      <c r="C84" t="s">
        <v>4091</v>
      </c>
      <c r="D84" t="s">
        <v>4092</v>
      </c>
    </row>
    <row r="85" spans="1:4" ht="11.25" customHeight="1">
      <c r="A85">
        <v>85</v>
      </c>
      <c r="B85" t="s">
        <v>4083</v>
      </c>
      <c r="C85" t="s">
        <v>4093</v>
      </c>
      <c r="D85" t="s">
        <v>4094</v>
      </c>
    </row>
    <row r="86" spans="1:4" ht="11.25" customHeight="1">
      <c r="A86">
        <v>86</v>
      </c>
      <c r="B86" t="s">
        <v>4083</v>
      </c>
      <c r="C86" t="s">
        <v>4095</v>
      </c>
      <c r="D86" t="s">
        <v>4096</v>
      </c>
    </row>
    <row r="87" spans="1:4" ht="11.25" customHeight="1">
      <c r="A87">
        <v>87</v>
      </c>
      <c r="B87" t="s">
        <v>4083</v>
      </c>
      <c r="C87" t="s">
        <v>4097</v>
      </c>
      <c r="D87" t="s">
        <v>4098</v>
      </c>
    </row>
    <row r="88" spans="1:4" ht="11.25" customHeight="1">
      <c r="A88">
        <v>88</v>
      </c>
      <c r="B88" t="s">
        <v>4083</v>
      </c>
      <c r="C88" t="s">
        <v>4099</v>
      </c>
      <c r="D88" t="s">
        <v>4100</v>
      </c>
    </row>
    <row r="89" spans="1:4" ht="11.25" customHeight="1">
      <c r="A89">
        <v>89</v>
      </c>
      <c r="B89" t="s">
        <v>4101</v>
      </c>
      <c r="C89" t="s">
        <v>4102</v>
      </c>
      <c r="D89" t="s">
        <v>4103</v>
      </c>
    </row>
    <row r="90" spans="1:4" ht="11.25" customHeight="1">
      <c r="A90">
        <v>90</v>
      </c>
      <c r="B90" t="s">
        <v>4101</v>
      </c>
      <c r="C90" t="s">
        <v>4104</v>
      </c>
      <c r="D90" t="s">
        <v>4105</v>
      </c>
    </row>
    <row r="91" spans="1:4" ht="11.25" customHeight="1">
      <c r="A91">
        <v>91</v>
      </c>
      <c r="B91" t="s">
        <v>4101</v>
      </c>
      <c r="C91" t="s">
        <v>4101</v>
      </c>
      <c r="D91" t="s">
        <v>4106</v>
      </c>
    </row>
    <row r="92" spans="1:4" ht="11.25" customHeight="1">
      <c r="A92">
        <v>92</v>
      </c>
      <c r="B92" t="s">
        <v>4101</v>
      </c>
      <c r="C92" t="s">
        <v>4107</v>
      </c>
      <c r="D92" t="s">
        <v>4108</v>
      </c>
    </row>
    <row r="93" spans="1:4" ht="11.25" customHeight="1">
      <c r="A93">
        <v>93</v>
      </c>
      <c r="B93" t="s">
        <v>4101</v>
      </c>
      <c r="C93" t="s">
        <v>4109</v>
      </c>
      <c r="D93" t="s">
        <v>4110</v>
      </c>
    </row>
    <row r="94" spans="1:4" ht="11.25" customHeight="1">
      <c r="A94">
        <v>94</v>
      </c>
      <c r="B94" t="s">
        <v>4101</v>
      </c>
      <c r="C94" t="s">
        <v>4111</v>
      </c>
      <c r="D94" t="s">
        <v>4112</v>
      </c>
    </row>
    <row r="95" spans="1:4" ht="11.25" customHeight="1">
      <c r="A95">
        <v>95</v>
      </c>
      <c r="B95" t="s">
        <v>4101</v>
      </c>
      <c r="C95" t="s">
        <v>4113</v>
      </c>
      <c r="D95" t="s">
        <v>4114</v>
      </c>
    </row>
    <row r="96" spans="1:4" ht="11.25" customHeight="1">
      <c r="A96">
        <v>96</v>
      </c>
      <c r="B96" t="s">
        <v>4101</v>
      </c>
      <c r="C96" t="s">
        <v>4115</v>
      </c>
      <c r="D96" t="s">
        <v>4116</v>
      </c>
    </row>
    <row r="97" spans="1:4" ht="11.25" customHeight="1">
      <c r="A97">
        <v>97</v>
      </c>
      <c r="B97" t="s">
        <v>4101</v>
      </c>
      <c r="C97" t="s">
        <v>4117</v>
      </c>
      <c r="D97" t="s">
        <v>4118</v>
      </c>
    </row>
    <row r="98" spans="1:4" ht="11.25" customHeight="1">
      <c r="A98">
        <v>98</v>
      </c>
      <c r="B98" t="s">
        <v>4101</v>
      </c>
      <c r="C98" t="s">
        <v>4119</v>
      </c>
      <c r="D98" t="s">
        <v>4120</v>
      </c>
    </row>
    <row r="99" spans="1:4" ht="11.25" customHeight="1">
      <c r="A99">
        <v>99</v>
      </c>
      <c r="B99" t="s">
        <v>4101</v>
      </c>
      <c r="C99" t="s">
        <v>4121</v>
      </c>
      <c r="D99" t="s">
        <v>4122</v>
      </c>
    </row>
    <row r="100" spans="1:4" ht="11.25" customHeight="1">
      <c r="A100">
        <v>100</v>
      </c>
      <c r="B100" t="s">
        <v>4101</v>
      </c>
      <c r="C100" t="s">
        <v>4123</v>
      </c>
      <c r="D100" t="s">
        <v>4124</v>
      </c>
    </row>
    <row r="101" spans="1:4" ht="11.25" customHeight="1">
      <c r="A101">
        <v>101</v>
      </c>
      <c r="B101" t="s">
        <v>4125</v>
      </c>
      <c r="C101" t="s">
        <v>4125</v>
      </c>
      <c r="D101" t="s">
        <v>4126</v>
      </c>
    </row>
    <row r="102" spans="1:4" ht="11.25" customHeight="1">
      <c r="A102">
        <v>102</v>
      </c>
      <c r="B102" t="s">
        <v>4127</v>
      </c>
      <c r="C102" t="s">
        <v>4127</v>
      </c>
      <c r="D102" t="s">
        <v>4128</v>
      </c>
    </row>
    <row r="103" spans="1:4" ht="11.25" customHeight="1">
      <c r="A103">
        <v>103</v>
      </c>
      <c r="B103" t="s">
        <v>4129</v>
      </c>
      <c r="C103" t="s">
        <v>4129</v>
      </c>
      <c r="D103" t="s">
        <v>4130</v>
      </c>
    </row>
    <row r="104" spans="1:4" ht="11.25" customHeight="1">
      <c r="A104">
        <v>104</v>
      </c>
      <c r="B104" t="s">
        <v>4131</v>
      </c>
      <c r="C104" t="s">
        <v>4131</v>
      </c>
      <c r="D104" t="s">
        <v>4132</v>
      </c>
    </row>
    <row r="105" spans="1:4" ht="11.25" customHeight="1">
      <c r="A105">
        <v>105</v>
      </c>
      <c r="B105" t="s">
        <v>4133</v>
      </c>
      <c r="C105" t="s">
        <v>4133</v>
      </c>
      <c r="D105" t="s">
        <v>4134</v>
      </c>
    </row>
    <row r="106" spans="1:4" ht="11.25" customHeight="1">
      <c r="A106">
        <v>106</v>
      </c>
      <c r="B106" t="s">
        <v>4135</v>
      </c>
      <c r="C106" t="s">
        <v>4135</v>
      </c>
      <c r="D106" t="s">
        <v>4136</v>
      </c>
    </row>
    <row r="107" spans="1:4" ht="11.25" customHeight="1">
      <c r="A107">
        <v>107</v>
      </c>
      <c r="B107" t="s">
        <v>4137</v>
      </c>
      <c r="C107" t="s">
        <v>4137</v>
      </c>
      <c r="D107" t="s">
        <v>4138</v>
      </c>
    </row>
    <row r="108" spans="1:4" ht="11.25" customHeight="1">
      <c r="A108">
        <v>108</v>
      </c>
      <c r="B108" t="s">
        <v>4139</v>
      </c>
      <c r="C108" t="s">
        <v>4139</v>
      </c>
      <c r="D108" t="s">
        <v>4140</v>
      </c>
    </row>
    <row r="109" spans="1:4" ht="11.25" customHeight="1">
      <c r="A109">
        <v>109</v>
      </c>
      <c r="B109" t="s">
        <v>4141</v>
      </c>
      <c r="C109" t="s">
        <v>4141</v>
      </c>
      <c r="D109" t="s">
        <v>4142</v>
      </c>
    </row>
    <row r="110" spans="1:4" ht="11.25" customHeight="1">
      <c r="A110">
        <v>110</v>
      </c>
      <c r="B110" t="s">
        <v>4143</v>
      </c>
      <c r="C110" t="s">
        <v>4143</v>
      </c>
      <c r="D110" t="s">
        <v>4144</v>
      </c>
    </row>
    <row r="111" spans="1:4" ht="11.25" customHeight="1">
      <c r="A111">
        <v>111</v>
      </c>
      <c r="B111" t="s">
        <v>4143</v>
      </c>
      <c r="C111" t="s">
        <v>4145</v>
      </c>
      <c r="D111" t="s">
        <v>4146</v>
      </c>
    </row>
    <row r="112" spans="1:4" ht="11.25" customHeight="1">
      <c r="A112">
        <v>112</v>
      </c>
      <c r="B112" t="s">
        <v>4143</v>
      </c>
      <c r="C112" t="s">
        <v>4147</v>
      </c>
      <c r="D112" t="s">
        <v>4148</v>
      </c>
    </row>
    <row r="113" spans="1:4" ht="11.25" customHeight="1">
      <c r="A113">
        <v>113</v>
      </c>
      <c r="B113" t="s">
        <v>4143</v>
      </c>
      <c r="C113" t="s">
        <v>4149</v>
      </c>
      <c r="D113" t="s">
        <v>4150</v>
      </c>
    </row>
    <row r="114" spans="1:4" ht="11.25" customHeight="1">
      <c r="A114">
        <v>114</v>
      </c>
      <c r="B114" t="s">
        <v>4143</v>
      </c>
      <c r="C114" t="s">
        <v>4151</v>
      </c>
      <c r="D114" t="s">
        <v>4152</v>
      </c>
    </row>
    <row r="115" spans="1:4" ht="11.25" customHeight="1">
      <c r="A115">
        <v>115</v>
      </c>
      <c r="B115" t="s">
        <v>4143</v>
      </c>
      <c r="C115" t="s">
        <v>4027</v>
      </c>
      <c r="D115" t="s">
        <v>4153</v>
      </c>
    </row>
    <row r="116" spans="1:4" ht="11.25" customHeight="1">
      <c r="A116">
        <v>116</v>
      </c>
      <c r="B116" t="s">
        <v>4143</v>
      </c>
      <c r="C116" t="s">
        <v>4031</v>
      </c>
      <c r="D116" t="s">
        <v>4154</v>
      </c>
    </row>
    <row r="117" spans="1:4" ht="11.25" customHeight="1">
      <c r="A117">
        <v>117</v>
      </c>
      <c r="B117" t="s">
        <v>4143</v>
      </c>
      <c r="C117" t="s">
        <v>4155</v>
      </c>
      <c r="D117" t="s">
        <v>4156</v>
      </c>
    </row>
    <row r="118" spans="1:4" ht="11.25" customHeight="1">
      <c r="A118">
        <v>118</v>
      </c>
      <c r="B118" t="s">
        <v>4143</v>
      </c>
      <c r="C118" t="s">
        <v>4157</v>
      </c>
      <c r="D118" t="s">
        <v>4158</v>
      </c>
    </row>
    <row r="119" spans="1:4" ht="11.25" customHeight="1">
      <c r="A119">
        <v>119</v>
      </c>
      <c r="B119" t="s">
        <v>4159</v>
      </c>
      <c r="C119" t="s">
        <v>4160</v>
      </c>
      <c r="D119" t="s">
        <v>4161</v>
      </c>
    </row>
    <row r="120" spans="1:4" ht="11.25" customHeight="1">
      <c r="A120">
        <v>120</v>
      </c>
      <c r="B120" t="s">
        <v>4159</v>
      </c>
      <c r="C120" t="s">
        <v>4159</v>
      </c>
      <c r="D120" t="s">
        <v>4162</v>
      </c>
    </row>
    <row r="121" spans="1:4" ht="11.25" customHeight="1">
      <c r="A121">
        <v>121</v>
      </c>
      <c r="B121" t="s">
        <v>4159</v>
      </c>
      <c r="C121" t="s">
        <v>4163</v>
      </c>
      <c r="D121" t="s">
        <v>4164</v>
      </c>
    </row>
    <row r="122" spans="1:4" ht="11.25" customHeight="1">
      <c r="A122">
        <v>122</v>
      </c>
      <c r="B122" t="s">
        <v>4159</v>
      </c>
      <c r="C122" t="s">
        <v>4165</v>
      </c>
      <c r="D122" t="s">
        <v>4166</v>
      </c>
    </row>
    <row r="123" spans="1:4" ht="11.25" customHeight="1">
      <c r="A123">
        <v>123</v>
      </c>
      <c r="B123" t="s">
        <v>4159</v>
      </c>
      <c r="C123" t="s">
        <v>4167</v>
      </c>
      <c r="D123" t="s">
        <v>4168</v>
      </c>
    </row>
    <row r="124" spans="1:4" ht="11.25" customHeight="1">
      <c r="A124">
        <v>124</v>
      </c>
      <c r="B124" t="s">
        <v>4159</v>
      </c>
      <c r="C124" t="s">
        <v>4169</v>
      </c>
      <c r="D124" t="s">
        <v>4170</v>
      </c>
    </row>
    <row r="125" spans="1:4" ht="11.25" customHeight="1">
      <c r="A125">
        <v>125</v>
      </c>
      <c r="B125" t="s">
        <v>4159</v>
      </c>
      <c r="C125" t="s">
        <v>4171</v>
      </c>
      <c r="D125" t="s">
        <v>4172</v>
      </c>
    </row>
    <row r="126" spans="1:4" ht="11.25" customHeight="1">
      <c r="A126">
        <v>126</v>
      </c>
      <c r="B126" t="s">
        <v>4173</v>
      </c>
      <c r="C126" t="s">
        <v>4173</v>
      </c>
      <c r="D126" t="s">
        <v>4174</v>
      </c>
    </row>
    <row r="127" spans="1:4" ht="11.25" customHeight="1">
      <c r="A127">
        <v>127</v>
      </c>
      <c r="B127" t="s">
        <v>4175</v>
      </c>
      <c r="C127" t="s">
        <v>4176</v>
      </c>
      <c r="D127" t="s">
        <v>4177</v>
      </c>
    </row>
    <row r="128" spans="1:4" ht="11.25" customHeight="1">
      <c r="A128">
        <v>128</v>
      </c>
      <c r="B128" t="s">
        <v>4175</v>
      </c>
      <c r="C128" t="s">
        <v>4178</v>
      </c>
      <c r="D128" t="s">
        <v>4179</v>
      </c>
    </row>
    <row r="129" spans="1:4" ht="11.25" customHeight="1">
      <c r="A129">
        <v>129</v>
      </c>
      <c r="B129" t="s">
        <v>4175</v>
      </c>
      <c r="C129" t="s">
        <v>4180</v>
      </c>
      <c r="D129" t="s">
        <v>4181</v>
      </c>
    </row>
    <row r="130" spans="1:4" ht="11.25" customHeight="1">
      <c r="A130">
        <v>130</v>
      </c>
      <c r="B130" t="s">
        <v>4175</v>
      </c>
      <c r="C130" t="s">
        <v>4175</v>
      </c>
      <c r="D130" t="s">
        <v>4182</v>
      </c>
    </row>
    <row r="131" spans="1:4" ht="11.25" customHeight="1">
      <c r="A131">
        <v>131</v>
      </c>
      <c r="B131" t="s">
        <v>4175</v>
      </c>
      <c r="C131" t="s">
        <v>4183</v>
      </c>
      <c r="D131" t="s">
        <v>4184</v>
      </c>
    </row>
    <row r="132" spans="1:4" ht="11.25" customHeight="1">
      <c r="A132">
        <v>132</v>
      </c>
      <c r="B132" t="s">
        <v>4175</v>
      </c>
      <c r="C132" t="s">
        <v>4185</v>
      </c>
      <c r="D132" t="s">
        <v>4186</v>
      </c>
    </row>
    <row r="133" spans="1:4" ht="11.25" customHeight="1">
      <c r="A133">
        <v>133</v>
      </c>
      <c r="B133" t="s">
        <v>4175</v>
      </c>
      <c r="C133" t="s">
        <v>4187</v>
      </c>
      <c r="D133" t="s">
        <v>4188</v>
      </c>
    </row>
    <row r="134" spans="1:4" ht="11.25" customHeight="1">
      <c r="A134">
        <v>134</v>
      </c>
      <c r="B134" t="s">
        <v>4175</v>
      </c>
      <c r="C134" t="s">
        <v>4189</v>
      </c>
      <c r="D134" t="s">
        <v>4190</v>
      </c>
    </row>
    <row r="135" spans="1:4" ht="11.25" customHeight="1">
      <c r="A135">
        <v>135</v>
      </c>
      <c r="B135" t="s">
        <v>4175</v>
      </c>
      <c r="C135" t="s">
        <v>4191</v>
      </c>
      <c r="D135" t="s">
        <v>4192</v>
      </c>
    </row>
    <row r="136" spans="1:4" ht="11.25" customHeight="1">
      <c r="A136">
        <v>136</v>
      </c>
      <c r="B136" t="s">
        <v>4175</v>
      </c>
      <c r="C136" t="s">
        <v>4193</v>
      </c>
      <c r="D136" t="s">
        <v>4194</v>
      </c>
    </row>
    <row r="137" spans="1:4" ht="11.25" customHeight="1">
      <c r="A137">
        <v>137</v>
      </c>
      <c r="B137" t="s">
        <v>4175</v>
      </c>
      <c r="C137" t="s">
        <v>4195</v>
      </c>
      <c r="D137" t="s">
        <v>4196</v>
      </c>
    </row>
    <row r="138" spans="1:4" ht="11.25" customHeight="1">
      <c r="A138">
        <v>138</v>
      </c>
      <c r="B138" t="s">
        <v>4175</v>
      </c>
      <c r="C138" t="s">
        <v>4197</v>
      </c>
      <c r="D138" t="s">
        <v>4198</v>
      </c>
    </row>
    <row r="139" spans="1:4" ht="11.25" customHeight="1">
      <c r="A139">
        <v>139</v>
      </c>
      <c r="B139" t="s">
        <v>4175</v>
      </c>
      <c r="C139" t="s">
        <v>4199</v>
      </c>
      <c r="D139" t="s">
        <v>4200</v>
      </c>
    </row>
    <row r="140" spans="1:4" ht="11.25" customHeight="1">
      <c r="A140">
        <v>140</v>
      </c>
      <c r="B140" t="s">
        <v>4201</v>
      </c>
      <c r="C140" t="s">
        <v>4201</v>
      </c>
      <c r="D140" t="s">
        <v>4202</v>
      </c>
    </row>
    <row r="141" spans="1:4" ht="11.25" customHeight="1">
      <c r="A141">
        <v>141</v>
      </c>
      <c r="B141" t="s">
        <v>4203</v>
      </c>
      <c r="C141" t="s">
        <v>4204</v>
      </c>
      <c r="D141" t="s">
        <v>4205</v>
      </c>
    </row>
    <row r="142" spans="1:4" ht="11.25" customHeight="1">
      <c r="A142">
        <v>142</v>
      </c>
      <c r="B142" t="s">
        <v>4203</v>
      </c>
      <c r="C142" t="s">
        <v>4206</v>
      </c>
      <c r="D142" t="s">
        <v>4207</v>
      </c>
    </row>
    <row r="143" spans="1:4" ht="11.25" customHeight="1">
      <c r="A143">
        <v>143</v>
      </c>
      <c r="B143" t="s">
        <v>4203</v>
      </c>
      <c r="C143" t="s">
        <v>4208</v>
      </c>
      <c r="D143" t="s">
        <v>4209</v>
      </c>
    </row>
    <row r="144" spans="1:4" ht="11.25" customHeight="1">
      <c r="A144">
        <v>144</v>
      </c>
      <c r="B144" t="s">
        <v>4203</v>
      </c>
      <c r="C144" t="s">
        <v>4210</v>
      </c>
      <c r="D144" t="s">
        <v>4211</v>
      </c>
    </row>
    <row r="145" spans="1:4" ht="11.25" customHeight="1">
      <c r="A145">
        <v>145</v>
      </c>
      <c r="B145" t="s">
        <v>4203</v>
      </c>
      <c r="C145" t="s">
        <v>4212</v>
      </c>
      <c r="D145" t="s">
        <v>4213</v>
      </c>
    </row>
    <row r="146" spans="1:4" ht="11.25" customHeight="1">
      <c r="A146">
        <v>146</v>
      </c>
      <c r="B146" t="s">
        <v>4203</v>
      </c>
      <c r="C146" t="s">
        <v>4214</v>
      </c>
      <c r="D146" t="s">
        <v>4215</v>
      </c>
    </row>
    <row r="147" spans="1:4" ht="11.25" customHeight="1">
      <c r="A147">
        <v>147</v>
      </c>
      <c r="B147" t="s">
        <v>4203</v>
      </c>
      <c r="C147" t="s">
        <v>4216</v>
      </c>
      <c r="D147" t="s">
        <v>4217</v>
      </c>
    </row>
    <row r="148" spans="1:4" ht="11.25" customHeight="1">
      <c r="A148">
        <v>148</v>
      </c>
      <c r="B148" t="s">
        <v>4203</v>
      </c>
      <c r="C148" t="s">
        <v>4203</v>
      </c>
      <c r="D148" t="s">
        <v>4218</v>
      </c>
    </row>
    <row r="149" spans="1:4" ht="11.25" customHeight="1">
      <c r="A149">
        <v>149</v>
      </c>
      <c r="B149" t="s">
        <v>4203</v>
      </c>
      <c r="C149" t="s">
        <v>4219</v>
      </c>
      <c r="D149" t="s">
        <v>4220</v>
      </c>
    </row>
    <row r="150" spans="1:4" ht="11.25" customHeight="1">
      <c r="A150">
        <v>150</v>
      </c>
      <c r="B150" t="s">
        <v>4203</v>
      </c>
      <c r="C150" t="s">
        <v>4221</v>
      </c>
      <c r="D150" t="s">
        <v>4222</v>
      </c>
    </row>
    <row r="151" spans="1:4" ht="11.25" customHeight="1">
      <c r="A151">
        <v>151</v>
      </c>
      <c r="B151" t="s">
        <v>4203</v>
      </c>
      <c r="C151" t="s">
        <v>4223</v>
      </c>
      <c r="D151" t="s">
        <v>4224</v>
      </c>
    </row>
    <row r="152" spans="1:4" ht="11.25" customHeight="1">
      <c r="A152">
        <v>152</v>
      </c>
      <c r="B152" t="s">
        <v>4203</v>
      </c>
      <c r="C152" t="s">
        <v>4225</v>
      </c>
      <c r="D152" t="s">
        <v>4226</v>
      </c>
    </row>
    <row r="153" spans="1:4" ht="11.25" customHeight="1">
      <c r="A153">
        <v>153</v>
      </c>
      <c r="B153" t="s">
        <v>4203</v>
      </c>
      <c r="C153" t="s">
        <v>4227</v>
      </c>
      <c r="D153" t="s">
        <v>4228</v>
      </c>
    </row>
    <row r="154" spans="1:4" ht="11.25" customHeight="1">
      <c r="A154">
        <v>154</v>
      </c>
      <c r="B154" t="s">
        <v>4203</v>
      </c>
      <c r="C154" t="s">
        <v>4229</v>
      </c>
      <c r="D154" t="s">
        <v>4230</v>
      </c>
    </row>
    <row r="155" spans="1:4" ht="11.25" customHeight="1">
      <c r="A155">
        <v>155</v>
      </c>
      <c r="B155" t="s">
        <v>4203</v>
      </c>
      <c r="C155" t="s">
        <v>4231</v>
      </c>
      <c r="D155" t="s">
        <v>4232</v>
      </c>
    </row>
    <row r="156" spans="1:4" ht="11.25" customHeight="1">
      <c r="A156">
        <v>156</v>
      </c>
      <c r="B156" t="s">
        <v>4203</v>
      </c>
      <c r="C156" t="s">
        <v>4233</v>
      </c>
      <c r="D156" t="s">
        <v>4234</v>
      </c>
    </row>
    <row r="157" spans="1:4" ht="11.25" customHeight="1">
      <c r="A157">
        <v>157</v>
      </c>
      <c r="B157" t="s">
        <v>4203</v>
      </c>
      <c r="C157" t="s">
        <v>4235</v>
      </c>
      <c r="D157" t="s">
        <v>4236</v>
      </c>
    </row>
    <row r="158" spans="1:4" ht="11.25" customHeight="1">
      <c r="A158">
        <v>158</v>
      </c>
      <c r="B158" t="s">
        <v>4203</v>
      </c>
      <c r="C158" t="s">
        <v>4237</v>
      </c>
      <c r="D158" t="s">
        <v>4238</v>
      </c>
    </row>
    <row r="159" spans="1:4" ht="11.25" customHeight="1">
      <c r="A159">
        <v>159</v>
      </c>
      <c r="B159" t="s">
        <v>4203</v>
      </c>
      <c r="C159" t="s">
        <v>4239</v>
      </c>
      <c r="D159" t="s">
        <v>4240</v>
      </c>
    </row>
    <row r="160" spans="1:4" ht="11.25" customHeight="1">
      <c r="A160">
        <v>160</v>
      </c>
      <c r="B160" t="s">
        <v>4203</v>
      </c>
      <c r="C160" t="s">
        <v>4241</v>
      </c>
      <c r="D160" t="s">
        <v>4242</v>
      </c>
    </row>
    <row r="161" spans="1:4" ht="11.25" customHeight="1">
      <c r="A161">
        <v>161</v>
      </c>
      <c r="B161" t="s">
        <v>4203</v>
      </c>
      <c r="C161" t="s">
        <v>4243</v>
      </c>
      <c r="D161" t="s">
        <v>4244</v>
      </c>
    </row>
    <row r="162" spans="1:4" ht="11.25" customHeight="1">
      <c r="A162">
        <v>162</v>
      </c>
      <c r="B162" t="s">
        <v>4245</v>
      </c>
      <c r="C162" t="s">
        <v>4246</v>
      </c>
      <c r="D162" t="s">
        <v>4247</v>
      </c>
    </row>
    <row r="163" spans="1:4" ht="11.25" customHeight="1">
      <c r="A163">
        <v>163</v>
      </c>
      <c r="B163" t="s">
        <v>4245</v>
      </c>
      <c r="C163" t="s">
        <v>4245</v>
      </c>
      <c r="D163" t="s">
        <v>4248</v>
      </c>
    </row>
    <row r="164" spans="1:4" ht="11.25" customHeight="1">
      <c r="A164">
        <v>164</v>
      </c>
      <c r="B164" t="s">
        <v>4245</v>
      </c>
      <c r="C164" t="s">
        <v>4249</v>
      </c>
      <c r="D164" t="s">
        <v>4250</v>
      </c>
    </row>
    <row r="165" spans="1:4" ht="11.25" customHeight="1">
      <c r="A165">
        <v>165</v>
      </c>
      <c r="B165" t="s">
        <v>4245</v>
      </c>
      <c r="C165" t="s">
        <v>4251</v>
      </c>
      <c r="D165" t="s">
        <v>4252</v>
      </c>
    </row>
    <row r="166" spans="1:4" ht="11.25" customHeight="1">
      <c r="A166">
        <v>166</v>
      </c>
      <c r="B166" t="s">
        <v>4245</v>
      </c>
      <c r="C166" t="s">
        <v>4253</v>
      </c>
      <c r="D166" t="s">
        <v>4254</v>
      </c>
    </row>
    <row r="167" spans="1:4" ht="11.25" customHeight="1">
      <c r="A167">
        <v>167</v>
      </c>
      <c r="B167" t="s">
        <v>4245</v>
      </c>
      <c r="C167" t="s">
        <v>4255</v>
      </c>
      <c r="D167" t="s">
        <v>4256</v>
      </c>
    </row>
    <row r="168" spans="1:4" ht="11.25" customHeight="1">
      <c r="A168">
        <v>168</v>
      </c>
      <c r="B168" t="s">
        <v>4245</v>
      </c>
      <c r="C168" t="s">
        <v>4257</v>
      </c>
      <c r="D168" t="s">
        <v>4258</v>
      </c>
    </row>
    <row r="169" spans="1:4" ht="11.25" customHeight="1">
      <c r="A169">
        <v>169</v>
      </c>
      <c r="B169" t="s">
        <v>4245</v>
      </c>
      <c r="C169" t="s">
        <v>4259</v>
      </c>
      <c r="D169" t="s">
        <v>4260</v>
      </c>
    </row>
    <row r="170" spans="1:4" ht="11.25" customHeight="1">
      <c r="A170">
        <v>170</v>
      </c>
      <c r="B170" t="s">
        <v>4245</v>
      </c>
      <c r="C170" t="s">
        <v>4261</v>
      </c>
      <c r="D170" t="s">
        <v>4262</v>
      </c>
    </row>
    <row r="171" spans="1:4" ht="11.25" customHeight="1">
      <c r="A171">
        <v>171</v>
      </c>
      <c r="B171" t="s">
        <v>4263</v>
      </c>
      <c r="C171" t="s">
        <v>4264</v>
      </c>
      <c r="D171" t="s">
        <v>4265</v>
      </c>
    </row>
    <row r="172" spans="1:4" ht="11.25" customHeight="1">
      <c r="A172">
        <v>172</v>
      </c>
      <c r="B172" t="s">
        <v>4263</v>
      </c>
      <c r="C172" t="s">
        <v>4263</v>
      </c>
      <c r="D172" t="s">
        <v>4266</v>
      </c>
    </row>
    <row r="173" spans="1:4" ht="11.25" customHeight="1">
      <c r="A173">
        <v>173</v>
      </c>
      <c r="B173" t="s">
        <v>4263</v>
      </c>
      <c r="C173" t="s">
        <v>4267</v>
      </c>
      <c r="D173" t="s">
        <v>4268</v>
      </c>
    </row>
    <row r="174" spans="1:4" ht="11.25" customHeight="1">
      <c r="A174">
        <v>174</v>
      </c>
      <c r="B174" t="s">
        <v>4263</v>
      </c>
      <c r="C174" t="s">
        <v>4269</v>
      </c>
      <c r="D174" t="s">
        <v>4270</v>
      </c>
    </row>
    <row r="175" spans="1:4" ht="11.25" customHeight="1">
      <c r="A175">
        <v>175</v>
      </c>
      <c r="B175" t="s">
        <v>4263</v>
      </c>
      <c r="C175" t="s">
        <v>4271</v>
      </c>
      <c r="D175" t="s">
        <v>4272</v>
      </c>
    </row>
    <row r="176" spans="1:4" ht="11.25" customHeight="1">
      <c r="A176">
        <v>176</v>
      </c>
      <c r="B176" t="s">
        <v>4263</v>
      </c>
      <c r="C176" t="s">
        <v>4253</v>
      </c>
      <c r="D176" t="s">
        <v>4273</v>
      </c>
    </row>
    <row r="177" spans="1:4" ht="11.25" customHeight="1">
      <c r="A177">
        <v>177</v>
      </c>
      <c r="B177" t="s">
        <v>4263</v>
      </c>
      <c r="C177" t="s">
        <v>4274</v>
      </c>
      <c r="D177" t="s">
        <v>4275</v>
      </c>
    </row>
    <row r="178" spans="1:4" ht="11.25" customHeight="1">
      <c r="A178">
        <v>178</v>
      </c>
      <c r="B178" t="s">
        <v>4263</v>
      </c>
      <c r="C178" t="s">
        <v>4276</v>
      </c>
      <c r="D178" t="s">
        <v>4277</v>
      </c>
    </row>
    <row r="179" spans="1:4" ht="11.25" customHeight="1">
      <c r="A179">
        <v>179</v>
      </c>
      <c r="B179" t="s">
        <v>4263</v>
      </c>
      <c r="C179" t="s">
        <v>4278</v>
      </c>
      <c r="D179" t="s">
        <v>4279</v>
      </c>
    </row>
    <row r="180" spans="1:4" ht="11.25" customHeight="1">
      <c r="A180">
        <v>180</v>
      </c>
      <c r="B180" t="s">
        <v>4263</v>
      </c>
      <c r="C180" t="s">
        <v>4280</v>
      </c>
      <c r="D180" t="s">
        <v>4281</v>
      </c>
    </row>
    <row r="181" spans="1:4" ht="11.25" customHeight="1">
      <c r="A181">
        <v>181</v>
      </c>
      <c r="B181" t="s">
        <v>4282</v>
      </c>
      <c r="C181" t="s">
        <v>4283</v>
      </c>
      <c r="D181" t="s">
        <v>4284</v>
      </c>
    </row>
    <row r="182" spans="1:4" ht="11.25" customHeight="1">
      <c r="A182">
        <v>182</v>
      </c>
      <c r="B182" t="s">
        <v>4282</v>
      </c>
      <c r="C182" t="s">
        <v>4285</v>
      </c>
      <c r="D182" t="s">
        <v>4286</v>
      </c>
    </row>
    <row r="183" spans="1:4" ht="11.25" customHeight="1">
      <c r="A183">
        <v>183</v>
      </c>
      <c r="B183" t="s">
        <v>4282</v>
      </c>
      <c r="C183" t="s">
        <v>4287</v>
      </c>
      <c r="D183" t="s">
        <v>4288</v>
      </c>
    </row>
    <row r="184" spans="1:4" ht="11.25" customHeight="1">
      <c r="A184">
        <v>184</v>
      </c>
      <c r="B184" t="s">
        <v>4282</v>
      </c>
      <c r="C184" t="s">
        <v>4282</v>
      </c>
      <c r="D184" t="s">
        <v>4289</v>
      </c>
    </row>
    <row r="185" spans="1:4" ht="11.25" customHeight="1">
      <c r="A185">
        <v>185</v>
      </c>
      <c r="B185" t="s">
        <v>4282</v>
      </c>
      <c r="C185" t="s">
        <v>4290</v>
      </c>
      <c r="D185" t="s">
        <v>4291</v>
      </c>
    </row>
    <row r="186" spans="1:4" ht="11.25" customHeight="1">
      <c r="A186">
        <v>186</v>
      </c>
      <c r="B186" t="s">
        <v>4282</v>
      </c>
      <c r="C186" t="s">
        <v>4292</v>
      </c>
      <c r="D186" t="s">
        <v>4293</v>
      </c>
    </row>
    <row r="187" spans="1:4" ht="11.25" customHeight="1">
      <c r="A187">
        <v>187</v>
      </c>
      <c r="B187" t="s">
        <v>4282</v>
      </c>
      <c r="C187" t="s">
        <v>4294</v>
      </c>
      <c r="D187" t="s">
        <v>4295</v>
      </c>
    </row>
    <row r="188" spans="1:4" ht="11.25" customHeight="1">
      <c r="A188">
        <v>188</v>
      </c>
      <c r="B188" t="s">
        <v>4282</v>
      </c>
      <c r="C188" t="s">
        <v>4296</v>
      </c>
      <c r="D188" t="s">
        <v>4297</v>
      </c>
    </row>
    <row r="189" spans="1:4" ht="11.25" customHeight="1">
      <c r="A189">
        <v>189</v>
      </c>
      <c r="B189" t="s">
        <v>4282</v>
      </c>
      <c r="C189" t="s">
        <v>4298</v>
      </c>
      <c r="D189" t="s">
        <v>4299</v>
      </c>
    </row>
    <row r="190" spans="1:4" ht="11.25" customHeight="1">
      <c r="A190">
        <v>190</v>
      </c>
      <c r="B190" t="s">
        <v>4282</v>
      </c>
      <c r="C190" t="s">
        <v>4300</v>
      </c>
      <c r="D190" t="s">
        <v>4301</v>
      </c>
    </row>
    <row r="191" spans="1:4" ht="11.25" customHeight="1">
      <c r="A191">
        <v>191</v>
      </c>
      <c r="B191" t="s">
        <v>4282</v>
      </c>
      <c r="C191" t="s">
        <v>4302</v>
      </c>
      <c r="D191" t="s">
        <v>4303</v>
      </c>
    </row>
    <row r="192" spans="1:4" ht="11.25" customHeight="1">
      <c r="A192">
        <v>192</v>
      </c>
      <c r="B192" t="s">
        <v>3220</v>
      </c>
      <c r="C192" t="s">
        <v>4304</v>
      </c>
      <c r="D192" t="s">
        <v>4305</v>
      </c>
    </row>
    <row r="193" spans="1:4" ht="11.25" customHeight="1">
      <c r="A193">
        <v>193</v>
      </c>
      <c r="B193" t="s">
        <v>3220</v>
      </c>
      <c r="C193" t="s">
        <v>4306</v>
      </c>
      <c r="D193" t="s">
        <v>4307</v>
      </c>
    </row>
    <row r="194" spans="1:4" ht="11.25" customHeight="1">
      <c r="A194">
        <v>194</v>
      </c>
      <c r="B194" t="s">
        <v>3220</v>
      </c>
      <c r="C194" t="s">
        <v>4180</v>
      </c>
      <c r="D194" t="s">
        <v>4308</v>
      </c>
    </row>
    <row r="195" spans="1:4" ht="11.25" customHeight="1">
      <c r="A195">
        <v>195</v>
      </c>
      <c r="B195" t="s">
        <v>3220</v>
      </c>
      <c r="C195" t="s">
        <v>3220</v>
      </c>
      <c r="D195" t="s">
        <v>4309</v>
      </c>
    </row>
    <row r="196" spans="1:4" ht="11.25" customHeight="1">
      <c r="A196">
        <v>196</v>
      </c>
      <c r="B196" t="s">
        <v>3220</v>
      </c>
      <c r="C196" t="s">
        <v>4310</v>
      </c>
      <c r="D196" t="s">
        <v>4311</v>
      </c>
    </row>
    <row r="197" spans="1:4" ht="11.25" customHeight="1">
      <c r="A197">
        <v>197</v>
      </c>
      <c r="B197" t="s">
        <v>3220</v>
      </c>
      <c r="C197" t="s">
        <v>4312</v>
      </c>
      <c r="D197" t="s">
        <v>4313</v>
      </c>
    </row>
    <row r="198" spans="1:4" ht="11.25" customHeight="1">
      <c r="A198">
        <v>198</v>
      </c>
      <c r="B198" t="s">
        <v>3220</v>
      </c>
      <c r="C198" t="s">
        <v>4314</v>
      </c>
      <c r="D198" t="s">
        <v>4315</v>
      </c>
    </row>
    <row r="199" spans="1:4" ht="11.25" customHeight="1">
      <c r="A199">
        <v>199</v>
      </c>
      <c r="B199" t="s">
        <v>3220</v>
      </c>
      <c r="C199" t="s">
        <v>4316</v>
      </c>
      <c r="D199" t="s">
        <v>4317</v>
      </c>
    </row>
    <row r="200" spans="1:4" ht="11.25" customHeight="1">
      <c r="A200">
        <v>200</v>
      </c>
      <c r="B200" t="s">
        <v>3220</v>
      </c>
      <c r="C200" t="s">
        <v>4318</v>
      </c>
      <c r="D200" t="s">
        <v>4319</v>
      </c>
    </row>
    <row r="201" spans="1:4" ht="11.25" customHeight="1">
      <c r="A201">
        <v>201</v>
      </c>
      <c r="B201" t="s">
        <v>3220</v>
      </c>
      <c r="C201" t="s">
        <v>4320</v>
      </c>
      <c r="D201" t="s">
        <v>4321</v>
      </c>
    </row>
    <row r="202" spans="1:4" ht="11.25" customHeight="1">
      <c r="A202">
        <v>202</v>
      </c>
      <c r="B202" t="s">
        <v>3220</v>
      </c>
      <c r="C202" t="s">
        <v>4322</v>
      </c>
      <c r="D202" t="s">
        <v>4323</v>
      </c>
    </row>
    <row r="203" spans="1:4" ht="11.25" customHeight="1">
      <c r="A203">
        <v>203</v>
      </c>
      <c r="B203" t="s">
        <v>3220</v>
      </c>
      <c r="C203" t="s">
        <v>4324</v>
      </c>
      <c r="D203" t="s">
        <v>4325</v>
      </c>
    </row>
    <row r="204" spans="1:4" ht="11.25" customHeight="1">
      <c r="A204">
        <v>204</v>
      </c>
      <c r="B204" t="s">
        <v>3220</v>
      </c>
      <c r="C204" t="s">
        <v>4326</v>
      </c>
      <c r="D204" t="s">
        <v>4327</v>
      </c>
    </row>
    <row r="205" spans="1:4" ht="11.25" customHeight="1">
      <c r="A205">
        <v>205</v>
      </c>
      <c r="B205" t="s">
        <v>3220</v>
      </c>
      <c r="C205" t="s">
        <v>4328</v>
      </c>
      <c r="D205" t="s">
        <v>4329</v>
      </c>
    </row>
    <row r="206" spans="1:4" ht="11.25" customHeight="1">
      <c r="A206">
        <v>206</v>
      </c>
      <c r="B206" t="s">
        <v>3220</v>
      </c>
      <c r="C206" t="s">
        <v>4330</v>
      </c>
      <c r="D206" t="s">
        <v>4331</v>
      </c>
    </row>
    <row r="207" spans="1:4" ht="11.25" customHeight="1">
      <c r="A207">
        <v>207</v>
      </c>
      <c r="B207" t="s">
        <v>4332</v>
      </c>
      <c r="C207" t="s">
        <v>4333</v>
      </c>
      <c r="D207" t="s">
        <v>4334</v>
      </c>
    </row>
    <row r="208" spans="1:4" ht="11.25" customHeight="1">
      <c r="A208">
        <v>208</v>
      </c>
      <c r="B208" t="s">
        <v>4332</v>
      </c>
      <c r="C208" t="s">
        <v>4335</v>
      </c>
      <c r="D208" t="s">
        <v>4336</v>
      </c>
    </row>
    <row r="209" spans="1:4" ht="11.25" customHeight="1">
      <c r="A209">
        <v>209</v>
      </c>
      <c r="B209" t="s">
        <v>4332</v>
      </c>
      <c r="C209" t="s">
        <v>4337</v>
      </c>
      <c r="D209" t="s">
        <v>4338</v>
      </c>
    </row>
    <row r="210" spans="1:4" ht="11.25" customHeight="1">
      <c r="A210">
        <v>210</v>
      </c>
      <c r="B210" t="s">
        <v>4332</v>
      </c>
      <c r="C210" t="s">
        <v>4339</v>
      </c>
      <c r="D210" t="s">
        <v>4340</v>
      </c>
    </row>
    <row r="211" spans="1:4" ht="11.25" customHeight="1">
      <c r="A211">
        <v>211</v>
      </c>
      <c r="B211" t="s">
        <v>4332</v>
      </c>
      <c r="C211" t="s">
        <v>4332</v>
      </c>
      <c r="D211" t="s">
        <v>4341</v>
      </c>
    </row>
    <row r="212" spans="1:4" ht="11.25" customHeight="1">
      <c r="A212">
        <v>212</v>
      </c>
      <c r="B212" t="s">
        <v>4332</v>
      </c>
      <c r="C212" t="s">
        <v>4342</v>
      </c>
      <c r="D212" t="s">
        <v>4343</v>
      </c>
    </row>
    <row r="213" spans="1:4" ht="11.25" customHeight="1">
      <c r="A213">
        <v>213</v>
      </c>
      <c r="B213" t="s">
        <v>4332</v>
      </c>
      <c r="C213" t="s">
        <v>4344</v>
      </c>
      <c r="D213" t="s">
        <v>4345</v>
      </c>
    </row>
    <row r="214" spans="1:4" ht="11.25" customHeight="1">
      <c r="A214">
        <v>214</v>
      </c>
      <c r="B214" t="s">
        <v>4332</v>
      </c>
      <c r="C214" t="s">
        <v>4346</v>
      </c>
      <c r="D214" t="s">
        <v>4347</v>
      </c>
    </row>
    <row r="215" spans="1:4" ht="11.25" customHeight="1">
      <c r="A215">
        <v>215</v>
      </c>
      <c r="B215" t="s">
        <v>4332</v>
      </c>
      <c r="C215" t="s">
        <v>4348</v>
      </c>
      <c r="D215" t="s">
        <v>4349</v>
      </c>
    </row>
    <row r="216" spans="1:4" ht="11.25" customHeight="1">
      <c r="A216">
        <v>216</v>
      </c>
      <c r="B216" t="s">
        <v>4332</v>
      </c>
      <c r="C216" t="s">
        <v>4350</v>
      </c>
      <c r="D216" t="s">
        <v>4351</v>
      </c>
    </row>
    <row r="217" spans="1:4" ht="11.25" customHeight="1">
      <c r="A217">
        <v>217</v>
      </c>
      <c r="B217" t="s">
        <v>4332</v>
      </c>
      <c r="C217" t="s">
        <v>4352</v>
      </c>
      <c r="D217" t="s">
        <v>4353</v>
      </c>
    </row>
    <row r="218" spans="1:4" ht="11.25" customHeight="1">
      <c r="A218">
        <v>218</v>
      </c>
      <c r="B218" t="s">
        <v>4354</v>
      </c>
      <c r="C218" t="s">
        <v>4355</v>
      </c>
      <c r="D218" t="s">
        <v>4356</v>
      </c>
    </row>
    <row r="219" spans="1:4" ht="11.25" customHeight="1">
      <c r="A219">
        <v>219</v>
      </c>
      <c r="B219" t="s">
        <v>4354</v>
      </c>
      <c r="C219" t="s">
        <v>4357</v>
      </c>
      <c r="D219" t="s">
        <v>4358</v>
      </c>
    </row>
    <row r="220" spans="1:4" ht="11.25" customHeight="1">
      <c r="A220">
        <v>220</v>
      </c>
      <c r="B220" t="s">
        <v>4354</v>
      </c>
      <c r="C220" t="s">
        <v>4359</v>
      </c>
      <c r="D220" t="s">
        <v>4360</v>
      </c>
    </row>
    <row r="221" spans="1:4" ht="11.25" customHeight="1">
      <c r="A221">
        <v>221</v>
      </c>
      <c r="B221" t="s">
        <v>4354</v>
      </c>
      <c r="C221" t="s">
        <v>4361</v>
      </c>
      <c r="D221" t="s">
        <v>4362</v>
      </c>
    </row>
    <row r="222" spans="1:4" ht="11.25" customHeight="1">
      <c r="A222">
        <v>222</v>
      </c>
      <c r="B222" t="s">
        <v>4354</v>
      </c>
      <c r="C222" t="s">
        <v>4363</v>
      </c>
      <c r="D222" t="s">
        <v>4364</v>
      </c>
    </row>
    <row r="223" spans="1:4" ht="11.25" customHeight="1">
      <c r="A223">
        <v>223</v>
      </c>
      <c r="B223" t="s">
        <v>4354</v>
      </c>
      <c r="C223" t="s">
        <v>4354</v>
      </c>
      <c r="D223" t="s">
        <v>4365</v>
      </c>
    </row>
    <row r="224" spans="1:4" ht="11.25" customHeight="1">
      <c r="A224">
        <v>224</v>
      </c>
      <c r="B224" t="s">
        <v>4354</v>
      </c>
      <c r="C224" t="s">
        <v>4366</v>
      </c>
      <c r="D224" t="s">
        <v>4367</v>
      </c>
    </row>
    <row r="225" spans="1:4" ht="11.25" customHeight="1">
      <c r="A225">
        <v>225</v>
      </c>
      <c r="B225" t="s">
        <v>4354</v>
      </c>
      <c r="C225" t="s">
        <v>4368</v>
      </c>
      <c r="D225" t="s">
        <v>4369</v>
      </c>
    </row>
    <row r="226" spans="1:4" ht="11.25" customHeight="1">
      <c r="A226">
        <v>226</v>
      </c>
      <c r="B226" t="s">
        <v>4354</v>
      </c>
      <c r="C226" t="s">
        <v>4370</v>
      </c>
      <c r="D226" t="s">
        <v>4371</v>
      </c>
    </row>
    <row r="227" spans="1:4" ht="11.25" customHeight="1">
      <c r="A227">
        <v>227</v>
      </c>
      <c r="B227" t="s">
        <v>4354</v>
      </c>
      <c r="C227" t="s">
        <v>4372</v>
      </c>
      <c r="D227" t="s">
        <v>4373</v>
      </c>
    </row>
    <row r="228" spans="1:4" ht="11.25" customHeight="1">
      <c r="A228">
        <v>228</v>
      </c>
      <c r="B228" t="s">
        <v>4354</v>
      </c>
      <c r="C228" t="s">
        <v>4314</v>
      </c>
      <c r="D228" t="s">
        <v>4374</v>
      </c>
    </row>
    <row r="229" spans="1:4" ht="11.25" customHeight="1">
      <c r="A229">
        <v>229</v>
      </c>
      <c r="B229" t="s">
        <v>4354</v>
      </c>
      <c r="C229" t="s">
        <v>4375</v>
      </c>
      <c r="D229" t="s">
        <v>4376</v>
      </c>
    </row>
    <row r="230" spans="1:4" ht="11.25" customHeight="1">
      <c r="A230">
        <v>230</v>
      </c>
      <c r="B230" t="s">
        <v>4377</v>
      </c>
      <c r="C230" t="s">
        <v>4102</v>
      </c>
      <c r="D230" t="s">
        <v>4378</v>
      </c>
    </row>
    <row r="231" spans="1:4" ht="11.25" customHeight="1">
      <c r="A231">
        <v>231</v>
      </c>
      <c r="B231" t="s">
        <v>4377</v>
      </c>
      <c r="C231" t="s">
        <v>4379</v>
      </c>
      <c r="D231" t="s">
        <v>4380</v>
      </c>
    </row>
    <row r="232" spans="1:4" ht="11.25" customHeight="1">
      <c r="A232">
        <v>232</v>
      </c>
      <c r="B232" t="s">
        <v>4377</v>
      </c>
      <c r="C232" t="s">
        <v>4377</v>
      </c>
      <c r="D232" t="s">
        <v>4381</v>
      </c>
    </row>
    <row r="233" spans="1:4" ht="11.25" customHeight="1">
      <c r="A233">
        <v>233</v>
      </c>
      <c r="B233" t="s">
        <v>4377</v>
      </c>
      <c r="C233" t="s">
        <v>4382</v>
      </c>
      <c r="D233" t="s">
        <v>4383</v>
      </c>
    </row>
    <row r="234" spans="1:4" ht="11.25" customHeight="1">
      <c r="A234">
        <v>234</v>
      </c>
      <c r="B234" t="s">
        <v>4377</v>
      </c>
      <c r="C234" t="s">
        <v>4384</v>
      </c>
      <c r="D234" t="s">
        <v>4385</v>
      </c>
    </row>
    <row r="235" spans="1:4" ht="11.25" customHeight="1">
      <c r="A235">
        <v>235</v>
      </c>
      <c r="B235" t="s">
        <v>4377</v>
      </c>
      <c r="C235" t="s">
        <v>4386</v>
      </c>
      <c r="D235" t="s">
        <v>4387</v>
      </c>
    </row>
    <row r="236" spans="1:4" ht="11.25" customHeight="1">
      <c r="A236">
        <v>236</v>
      </c>
      <c r="B236" t="s">
        <v>4377</v>
      </c>
      <c r="C236" t="s">
        <v>4388</v>
      </c>
      <c r="D236" t="s">
        <v>4389</v>
      </c>
    </row>
    <row r="237" spans="1:4" ht="11.25" customHeight="1">
      <c r="A237">
        <v>237</v>
      </c>
      <c r="B237" t="s">
        <v>4377</v>
      </c>
      <c r="C237" t="s">
        <v>4390</v>
      </c>
      <c r="D237" t="s">
        <v>4391</v>
      </c>
    </row>
    <row r="238" spans="1:4" ht="11.25" customHeight="1">
      <c r="A238">
        <v>238</v>
      </c>
      <c r="B238" t="s">
        <v>4377</v>
      </c>
      <c r="C238" t="s">
        <v>4392</v>
      </c>
      <c r="D238" t="s">
        <v>4393</v>
      </c>
    </row>
    <row r="239" spans="1:4" ht="11.25" customHeight="1">
      <c r="A239">
        <v>239</v>
      </c>
      <c r="B239" t="s">
        <v>4394</v>
      </c>
      <c r="C239" t="s">
        <v>4395</v>
      </c>
      <c r="D239" t="s">
        <v>4396</v>
      </c>
    </row>
    <row r="240" spans="1:4" ht="11.25" customHeight="1">
      <c r="A240">
        <v>240</v>
      </c>
      <c r="B240" t="s">
        <v>4394</v>
      </c>
      <c r="C240" t="s">
        <v>4102</v>
      </c>
      <c r="D240" t="s">
        <v>4397</v>
      </c>
    </row>
    <row r="241" spans="1:4" ht="11.25" customHeight="1">
      <c r="A241">
        <v>241</v>
      </c>
      <c r="B241" t="s">
        <v>4394</v>
      </c>
      <c r="C241" t="s">
        <v>4206</v>
      </c>
      <c r="D241" t="s">
        <v>4398</v>
      </c>
    </row>
    <row r="242" spans="1:4" ht="11.25" customHeight="1">
      <c r="A242">
        <v>242</v>
      </c>
      <c r="B242" t="s">
        <v>4394</v>
      </c>
      <c r="C242" t="s">
        <v>4399</v>
      </c>
      <c r="D242" t="s">
        <v>4400</v>
      </c>
    </row>
    <row r="243" spans="1:4" ht="11.25" customHeight="1">
      <c r="A243">
        <v>243</v>
      </c>
      <c r="B243" t="s">
        <v>4394</v>
      </c>
      <c r="C243" t="s">
        <v>4394</v>
      </c>
      <c r="D243" t="s">
        <v>4401</v>
      </c>
    </row>
    <row r="244" spans="1:4" ht="11.25" customHeight="1">
      <c r="A244">
        <v>244</v>
      </c>
      <c r="B244" t="s">
        <v>4394</v>
      </c>
      <c r="C244" t="s">
        <v>4402</v>
      </c>
      <c r="D244" t="s">
        <v>4403</v>
      </c>
    </row>
    <row r="245" spans="1:4" ht="11.25" customHeight="1">
      <c r="A245">
        <v>245</v>
      </c>
      <c r="B245" t="s">
        <v>4394</v>
      </c>
      <c r="C245" t="s">
        <v>4404</v>
      </c>
      <c r="D245" t="s">
        <v>4405</v>
      </c>
    </row>
    <row r="246" spans="1:4" ht="11.25" customHeight="1">
      <c r="A246">
        <v>246</v>
      </c>
      <c r="B246" t="s">
        <v>4394</v>
      </c>
      <c r="C246" t="s">
        <v>4406</v>
      </c>
      <c r="D246" t="s">
        <v>4407</v>
      </c>
    </row>
    <row r="247" spans="1:4" ht="11.25" customHeight="1">
      <c r="A247">
        <v>247</v>
      </c>
      <c r="B247" t="s">
        <v>4394</v>
      </c>
      <c r="C247" t="s">
        <v>4408</v>
      </c>
      <c r="D247" t="s">
        <v>4409</v>
      </c>
    </row>
    <row r="248" spans="1:4" ht="11.25" customHeight="1">
      <c r="A248">
        <v>248</v>
      </c>
      <c r="B248" t="s">
        <v>4394</v>
      </c>
      <c r="C248" t="s">
        <v>4410</v>
      </c>
      <c r="D248" t="s">
        <v>4411</v>
      </c>
    </row>
    <row r="249" spans="1:4" ht="11.25" customHeight="1">
      <c r="A249">
        <v>249</v>
      </c>
      <c r="B249" t="s">
        <v>4394</v>
      </c>
      <c r="C249" t="s">
        <v>4412</v>
      </c>
      <c r="D249" t="s">
        <v>4413</v>
      </c>
    </row>
    <row r="250" spans="1:4" ht="11.25" customHeight="1">
      <c r="A250">
        <v>250</v>
      </c>
      <c r="B250" t="s">
        <v>4394</v>
      </c>
      <c r="C250" t="s">
        <v>4414</v>
      </c>
      <c r="D250" t="s">
        <v>4415</v>
      </c>
    </row>
    <row r="251" spans="1:4" ht="11.25" customHeight="1">
      <c r="A251">
        <v>251</v>
      </c>
      <c r="B251" t="s">
        <v>4394</v>
      </c>
      <c r="C251" t="s">
        <v>4416</v>
      </c>
      <c r="D251" t="s">
        <v>4417</v>
      </c>
    </row>
    <row r="252" spans="1:4" ht="11.25" customHeight="1">
      <c r="A252">
        <v>252</v>
      </c>
      <c r="B252" t="s">
        <v>4394</v>
      </c>
      <c r="C252" t="s">
        <v>4418</v>
      </c>
      <c r="D252" t="s">
        <v>4419</v>
      </c>
    </row>
    <row r="253" spans="1:4" ht="11.25" customHeight="1">
      <c r="A253">
        <v>253</v>
      </c>
      <c r="B253" t="s">
        <v>4420</v>
      </c>
      <c r="C253" t="s">
        <v>3936</v>
      </c>
      <c r="D253" t="s">
        <v>4421</v>
      </c>
    </row>
    <row r="254" spans="1:4" ht="11.25" customHeight="1">
      <c r="A254">
        <v>254</v>
      </c>
      <c r="B254" t="s">
        <v>4420</v>
      </c>
      <c r="C254" t="s">
        <v>4422</v>
      </c>
      <c r="D254" t="s">
        <v>4423</v>
      </c>
    </row>
    <row r="255" spans="1:4" ht="11.25" customHeight="1">
      <c r="A255">
        <v>255</v>
      </c>
      <c r="B255" t="s">
        <v>4420</v>
      </c>
      <c r="C255" t="s">
        <v>4424</v>
      </c>
      <c r="D255" t="s">
        <v>4425</v>
      </c>
    </row>
    <row r="256" spans="1:4" ht="11.25" customHeight="1">
      <c r="A256">
        <v>256</v>
      </c>
      <c r="B256" t="s">
        <v>4420</v>
      </c>
      <c r="C256" t="s">
        <v>4426</v>
      </c>
      <c r="D256" t="s">
        <v>4427</v>
      </c>
    </row>
    <row r="257" spans="1:4" ht="11.25" customHeight="1">
      <c r="A257">
        <v>257</v>
      </c>
      <c r="B257" t="s">
        <v>4420</v>
      </c>
      <c r="C257" t="s">
        <v>4420</v>
      </c>
      <c r="D257" t="s">
        <v>4428</v>
      </c>
    </row>
    <row r="258" spans="1:4" ht="11.25" customHeight="1">
      <c r="A258">
        <v>258</v>
      </c>
      <c r="B258" t="s">
        <v>4420</v>
      </c>
      <c r="C258" t="s">
        <v>4429</v>
      </c>
      <c r="D258" t="s">
        <v>4430</v>
      </c>
    </row>
    <row r="259" spans="1:4" ht="11.25" customHeight="1">
      <c r="A259">
        <v>259</v>
      </c>
      <c r="B259" t="s">
        <v>4420</v>
      </c>
      <c r="C259" t="s">
        <v>4431</v>
      </c>
      <c r="D259" t="s">
        <v>4432</v>
      </c>
    </row>
    <row r="260" spans="1:4" ht="11.25" customHeight="1">
      <c r="A260">
        <v>260</v>
      </c>
      <c r="B260" t="s">
        <v>4420</v>
      </c>
      <c r="C260" t="s">
        <v>4433</v>
      </c>
      <c r="D260" t="s">
        <v>4434</v>
      </c>
    </row>
    <row r="261" spans="1:4" ht="11.25" customHeight="1">
      <c r="A261">
        <v>261</v>
      </c>
      <c r="B261" t="s">
        <v>4420</v>
      </c>
      <c r="C261" t="s">
        <v>4435</v>
      </c>
      <c r="D261" t="s">
        <v>4436</v>
      </c>
    </row>
    <row r="262" spans="1:4" ht="11.25" customHeight="1">
      <c r="A262">
        <v>262</v>
      </c>
      <c r="B262" t="s">
        <v>4420</v>
      </c>
      <c r="C262" t="s">
        <v>4437</v>
      </c>
      <c r="D262" t="s">
        <v>4438</v>
      </c>
    </row>
    <row r="263" spans="1:4" ht="11.25" customHeight="1">
      <c r="A263">
        <v>263</v>
      </c>
      <c r="B263" t="s">
        <v>4439</v>
      </c>
      <c r="C263" t="s">
        <v>4440</v>
      </c>
      <c r="D263" t="s">
        <v>4441</v>
      </c>
    </row>
    <row r="264" spans="1:4" ht="11.25" customHeight="1">
      <c r="A264">
        <v>264</v>
      </c>
      <c r="B264" t="s">
        <v>4439</v>
      </c>
      <c r="C264" t="s">
        <v>4442</v>
      </c>
      <c r="D264" t="s">
        <v>4443</v>
      </c>
    </row>
    <row r="265" spans="1:4" ht="11.25" customHeight="1">
      <c r="A265">
        <v>265</v>
      </c>
      <c r="B265" t="s">
        <v>4439</v>
      </c>
      <c r="C265" t="s">
        <v>4444</v>
      </c>
      <c r="D265" t="s">
        <v>4445</v>
      </c>
    </row>
    <row r="266" spans="1:4" ht="11.25" customHeight="1">
      <c r="A266">
        <v>266</v>
      </c>
      <c r="B266" t="s">
        <v>4439</v>
      </c>
      <c r="C266" t="s">
        <v>4446</v>
      </c>
      <c r="D266" t="s">
        <v>4447</v>
      </c>
    </row>
    <row r="267" spans="1:4" ht="11.25" customHeight="1">
      <c r="A267">
        <v>267</v>
      </c>
      <c r="B267" t="s">
        <v>4439</v>
      </c>
      <c r="C267" t="s">
        <v>4439</v>
      </c>
      <c r="D267" t="s">
        <v>4448</v>
      </c>
    </row>
    <row r="268" spans="1:4" ht="11.25" customHeight="1">
      <c r="A268">
        <v>268</v>
      </c>
      <c r="B268" t="s">
        <v>4439</v>
      </c>
      <c r="C268" t="s">
        <v>4449</v>
      </c>
      <c r="D268" t="s">
        <v>4450</v>
      </c>
    </row>
    <row r="269" spans="1:4" ht="11.25" customHeight="1">
      <c r="A269">
        <v>269</v>
      </c>
      <c r="B269" t="s">
        <v>4439</v>
      </c>
      <c r="C269" t="s">
        <v>4451</v>
      </c>
      <c r="D269" t="s">
        <v>4452</v>
      </c>
    </row>
    <row r="270" spans="1:4" ht="11.25" customHeight="1">
      <c r="A270">
        <v>270</v>
      </c>
      <c r="B270" t="s">
        <v>4439</v>
      </c>
      <c r="C270" t="s">
        <v>4453</v>
      </c>
      <c r="D270" t="s">
        <v>4454</v>
      </c>
    </row>
    <row r="271" spans="1:4" ht="11.25" customHeight="1">
      <c r="A271">
        <v>271</v>
      </c>
      <c r="B271" t="s">
        <v>4439</v>
      </c>
      <c r="C271" t="s">
        <v>4253</v>
      </c>
      <c r="D271" t="s">
        <v>4455</v>
      </c>
    </row>
    <row r="272" spans="1:4" ht="11.25" customHeight="1">
      <c r="A272">
        <v>272</v>
      </c>
      <c r="B272" t="s">
        <v>4439</v>
      </c>
      <c r="C272" t="s">
        <v>4456</v>
      </c>
      <c r="D272" t="s">
        <v>4457</v>
      </c>
    </row>
    <row r="273" spans="1:4" ht="11.25" customHeight="1">
      <c r="A273">
        <v>273</v>
      </c>
      <c r="B273" t="s">
        <v>4458</v>
      </c>
      <c r="C273" t="s">
        <v>4459</v>
      </c>
      <c r="D273" t="s">
        <v>4460</v>
      </c>
    </row>
    <row r="274" spans="1:4" ht="11.25" customHeight="1">
      <c r="A274">
        <v>274</v>
      </c>
      <c r="B274" t="s">
        <v>4458</v>
      </c>
      <c r="C274" t="s">
        <v>4461</v>
      </c>
      <c r="D274" t="s">
        <v>4462</v>
      </c>
    </row>
    <row r="275" spans="1:4" ht="11.25" customHeight="1">
      <c r="A275">
        <v>275</v>
      </c>
      <c r="B275" t="s">
        <v>4458</v>
      </c>
      <c r="C275" t="s">
        <v>4463</v>
      </c>
      <c r="D275" t="s">
        <v>4464</v>
      </c>
    </row>
    <row r="276" spans="1:4" ht="11.25" customHeight="1">
      <c r="A276">
        <v>276</v>
      </c>
      <c r="B276" t="s">
        <v>4458</v>
      </c>
      <c r="C276" t="s">
        <v>4465</v>
      </c>
      <c r="D276" t="s">
        <v>4466</v>
      </c>
    </row>
    <row r="277" spans="1:4" ht="11.25" customHeight="1">
      <c r="A277">
        <v>277</v>
      </c>
      <c r="B277" t="s">
        <v>4458</v>
      </c>
      <c r="C277" t="s">
        <v>4467</v>
      </c>
      <c r="D277" t="s">
        <v>4468</v>
      </c>
    </row>
    <row r="278" spans="1:4" ht="11.25" customHeight="1">
      <c r="A278">
        <v>278</v>
      </c>
      <c r="B278" t="s">
        <v>4458</v>
      </c>
      <c r="C278" t="s">
        <v>4469</v>
      </c>
      <c r="D278" t="s">
        <v>4470</v>
      </c>
    </row>
    <row r="279" spans="1:4" ht="11.25" customHeight="1">
      <c r="A279">
        <v>279</v>
      </c>
      <c r="B279" t="s">
        <v>4458</v>
      </c>
      <c r="C279" t="s">
        <v>4458</v>
      </c>
      <c r="D279" t="s">
        <v>4471</v>
      </c>
    </row>
    <row r="280" spans="1:4" ht="11.25" customHeight="1">
      <c r="A280">
        <v>280</v>
      </c>
      <c r="B280" t="s">
        <v>4458</v>
      </c>
      <c r="C280" t="s">
        <v>4472</v>
      </c>
      <c r="D280" t="s">
        <v>4473</v>
      </c>
    </row>
    <row r="281" spans="1:4" ht="11.25" customHeight="1">
      <c r="A281">
        <v>281</v>
      </c>
      <c r="B281" t="s">
        <v>4458</v>
      </c>
      <c r="C281" t="s">
        <v>4474</v>
      </c>
      <c r="D281" t="s">
        <v>4475</v>
      </c>
    </row>
    <row r="282" spans="1:4" ht="11.25" customHeight="1">
      <c r="A282">
        <v>282</v>
      </c>
      <c r="B282" t="s">
        <v>4458</v>
      </c>
      <c r="C282" t="s">
        <v>4476</v>
      </c>
      <c r="D282" t="s">
        <v>4477</v>
      </c>
    </row>
    <row r="283" spans="1:4" ht="11.25" customHeight="1">
      <c r="A283">
        <v>283</v>
      </c>
      <c r="B283" t="s">
        <v>4458</v>
      </c>
      <c r="C283" t="s">
        <v>4478</v>
      </c>
      <c r="D283" t="s">
        <v>4479</v>
      </c>
    </row>
    <row r="284" spans="1:4" ht="11.25" customHeight="1">
      <c r="A284">
        <v>284</v>
      </c>
      <c r="B284" t="s">
        <v>4480</v>
      </c>
      <c r="C284" t="s">
        <v>4481</v>
      </c>
      <c r="D284" t="s">
        <v>4482</v>
      </c>
    </row>
    <row r="285" spans="1:4" ht="11.25" customHeight="1">
      <c r="A285">
        <v>285</v>
      </c>
      <c r="B285" t="s">
        <v>4480</v>
      </c>
      <c r="C285" t="s">
        <v>4480</v>
      </c>
      <c r="D285" t="s">
        <v>4483</v>
      </c>
    </row>
    <row r="286" spans="1:4" ht="11.25" customHeight="1">
      <c r="A286">
        <v>286</v>
      </c>
      <c r="B286" t="s">
        <v>4480</v>
      </c>
      <c r="C286" t="s">
        <v>4484</v>
      </c>
      <c r="D286" t="s">
        <v>4485</v>
      </c>
    </row>
    <row r="287" spans="1:4" ht="11.25" customHeight="1">
      <c r="A287">
        <v>287</v>
      </c>
      <c r="B287" t="s">
        <v>4480</v>
      </c>
      <c r="C287" t="s">
        <v>4486</v>
      </c>
      <c r="D287" t="s">
        <v>4487</v>
      </c>
    </row>
    <row r="288" spans="1:4" ht="11.25" customHeight="1">
      <c r="A288">
        <v>288</v>
      </c>
      <c r="B288" t="s">
        <v>4480</v>
      </c>
      <c r="C288" t="s">
        <v>4253</v>
      </c>
      <c r="D288" t="s">
        <v>4488</v>
      </c>
    </row>
    <row r="289" spans="1:4" ht="11.25" customHeight="1">
      <c r="A289">
        <v>289</v>
      </c>
      <c r="B289" t="s">
        <v>4480</v>
      </c>
      <c r="C289" t="s">
        <v>4489</v>
      </c>
      <c r="D289" t="s">
        <v>4490</v>
      </c>
    </row>
    <row r="290" spans="1:4" ht="11.25" customHeight="1">
      <c r="A290">
        <v>290</v>
      </c>
      <c r="B290" t="s">
        <v>4480</v>
      </c>
      <c r="C290" t="s">
        <v>4491</v>
      </c>
      <c r="D290" t="s">
        <v>4492</v>
      </c>
    </row>
    <row r="291" spans="1:4" ht="11.25" customHeight="1">
      <c r="A291">
        <v>291</v>
      </c>
      <c r="B291" t="s">
        <v>4480</v>
      </c>
      <c r="C291" t="s">
        <v>4493</v>
      </c>
      <c r="D291" t="s">
        <v>4494</v>
      </c>
    </row>
    <row r="292" spans="1:4" ht="11.25" customHeight="1">
      <c r="A292">
        <v>292</v>
      </c>
      <c r="B292" t="s">
        <v>4480</v>
      </c>
      <c r="C292" t="s">
        <v>4237</v>
      </c>
      <c r="D292" t="s">
        <v>4495</v>
      </c>
    </row>
    <row r="293" spans="1:4" ht="11.25" customHeight="1">
      <c r="A293">
        <v>293</v>
      </c>
      <c r="B293" t="s">
        <v>4480</v>
      </c>
      <c r="C293" t="s">
        <v>4496</v>
      </c>
      <c r="D293" t="s">
        <v>4497</v>
      </c>
    </row>
    <row r="294" spans="1:4" ht="11.25" customHeight="1">
      <c r="A294">
        <v>294</v>
      </c>
      <c r="B294" t="s">
        <v>4480</v>
      </c>
      <c r="C294" t="s">
        <v>4498</v>
      </c>
      <c r="D294" t="s">
        <v>4499</v>
      </c>
    </row>
    <row r="295" spans="1:4" ht="11.25" customHeight="1">
      <c r="A295">
        <v>295</v>
      </c>
      <c r="B295" t="s">
        <v>4500</v>
      </c>
      <c r="C295" t="s">
        <v>4501</v>
      </c>
      <c r="D295" t="s">
        <v>4502</v>
      </c>
    </row>
    <row r="296" spans="1:4" ht="11.25" customHeight="1">
      <c r="A296">
        <v>296</v>
      </c>
      <c r="B296" t="s">
        <v>4500</v>
      </c>
      <c r="C296" t="s">
        <v>4503</v>
      </c>
      <c r="D296" t="s">
        <v>4504</v>
      </c>
    </row>
    <row r="297" spans="1:4" ht="11.25" customHeight="1">
      <c r="A297">
        <v>297</v>
      </c>
      <c r="B297" t="s">
        <v>4500</v>
      </c>
      <c r="C297" t="s">
        <v>4505</v>
      </c>
      <c r="D297" t="s">
        <v>4506</v>
      </c>
    </row>
    <row r="298" spans="1:4" ht="11.25" customHeight="1">
      <c r="A298">
        <v>298</v>
      </c>
      <c r="B298" t="s">
        <v>4500</v>
      </c>
      <c r="C298" t="s">
        <v>4176</v>
      </c>
      <c r="D298" t="s">
        <v>4507</v>
      </c>
    </row>
    <row r="299" spans="1:4" ht="11.25" customHeight="1">
      <c r="A299">
        <v>299</v>
      </c>
      <c r="B299" t="s">
        <v>4500</v>
      </c>
      <c r="C299" t="s">
        <v>4508</v>
      </c>
      <c r="D299" t="s">
        <v>4509</v>
      </c>
    </row>
    <row r="300" spans="1:4" ht="11.25" customHeight="1">
      <c r="A300">
        <v>300</v>
      </c>
      <c r="B300" t="s">
        <v>4500</v>
      </c>
      <c r="C300" t="s">
        <v>4510</v>
      </c>
      <c r="D300" t="s">
        <v>4511</v>
      </c>
    </row>
    <row r="301" spans="1:4" ht="11.25" customHeight="1">
      <c r="A301">
        <v>301</v>
      </c>
      <c r="B301" t="s">
        <v>4500</v>
      </c>
      <c r="C301" t="s">
        <v>4512</v>
      </c>
      <c r="D301" t="s">
        <v>4513</v>
      </c>
    </row>
    <row r="302" spans="1:4" ht="11.25" customHeight="1">
      <c r="A302">
        <v>302</v>
      </c>
      <c r="B302" t="s">
        <v>4500</v>
      </c>
      <c r="C302" t="s">
        <v>3946</v>
      </c>
      <c r="D302" t="s">
        <v>4514</v>
      </c>
    </row>
    <row r="303" spans="1:4" ht="11.25" customHeight="1">
      <c r="A303">
        <v>303</v>
      </c>
      <c r="B303" t="s">
        <v>4500</v>
      </c>
      <c r="C303" t="s">
        <v>4500</v>
      </c>
      <c r="D303" t="s">
        <v>4515</v>
      </c>
    </row>
    <row r="304" spans="1:4" ht="11.25" customHeight="1">
      <c r="A304">
        <v>304</v>
      </c>
      <c r="B304" t="s">
        <v>4500</v>
      </c>
      <c r="C304" t="s">
        <v>4516</v>
      </c>
      <c r="D304" t="s">
        <v>4517</v>
      </c>
    </row>
    <row r="305" spans="1:4" ht="11.25" customHeight="1">
      <c r="A305">
        <v>305</v>
      </c>
      <c r="B305" t="s">
        <v>4500</v>
      </c>
      <c r="C305" t="s">
        <v>4518</v>
      </c>
      <c r="D305" t="s">
        <v>4519</v>
      </c>
    </row>
    <row r="306" spans="1:4" ht="11.25" customHeight="1">
      <c r="A306">
        <v>306</v>
      </c>
      <c r="B306" t="s">
        <v>4500</v>
      </c>
      <c r="C306" t="s">
        <v>4049</v>
      </c>
      <c r="D306" t="s">
        <v>4520</v>
      </c>
    </row>
    <row r="307" spans="1:4" ht="11.25" customHeight="1">
      <c r="A307">
        <v>307</v>
      </c>
      <c r="B307" t="s">
        <v>4500</v>
      </c>
      <c r="C307" t="s">
        <v>4521</v>
      </c>
      <c r="D307" t="s">
        <v>4522</v>
      </c>
    </row>
    <row r="308" spans="1:4" ht="11.25" customHeight="1">
      <c r="A308">
        <v>308</v>
      </c>
      <c r="B308" t="s">
        <v>4500</v>
      </c>
      <c r="C308" t="s">
        <v>4523</v>
      </c>
      <c r="D308" t="s">
        <v>4524</v>
      </c>
    </row>
    <row r="309" spans="1:4" ht="11.25" customHeight="1">
      <c r="A309">
        <v>309</v>
      </c>
      <c r="B309" t="s">
        <v>4500</v>
      </c>
      <c r="C309" t="s">
        <v>4350</v>
      </c>
      <c r="D309" t="s">
        <v>4525</v>
      </c>
    </row>
    <row r="310" spans="1:4" ht="11.25" customHeight="1">
      <c r="A310">
        <v>310</v>
      </c>
      <c r="B310" t="s">
        <v>4500</v>
      </c>
      <c r="C310" t="s">
        <v>4526</v>
      </c>
      <c r="D310" t="s">
        <v>4527</v>
      </c>
    </row>
    <row r="311" spans="1:4" ht="11.25" customHeight="1">
      <c r="A311">
        <v>311</v>
      </c>
      <c r="B311" t="s">
        <v>4500</v>
      </c>
      <c r="C311" t="s">
        <v>4528</v>
      </c>
      <c r="D311" t="s">
        <v>4529</v>
      </c>
    </row>
    <row r="312" spans="1:4" ht="11.25" customHeight="1">
      <c r="A312">
        <v>312</v>
      </c>
      <c r="B312" t="s">
        <v>4500</v>
      </c>
      <c r="C312" t="s">
        <v>4530</v>
      </c>
      <c r="D312" t="s">
        <v>4531</v>
      </c>
    </row>
    <row r="313" spans="1:4" ht="11.25" customHeight="1">
      <c r="A313">
        <v>313</v>
      </c>
      <c r="B313" t="s">
        <v>4500</v>
      </c>
      <c r="C313" t="s">
        <v>4081</v>
      </c>
      <c r="D313" t="s">
        <v>4532</v>
      </c>
    </row>
    <row r="314" spans="1:4" ht="11.25" customHeight="1">
      <c r="A314">
        <v>314</v>
      </c>
      <c r="B314" t="s">
        <v>4533</v>
      </c>
      <c r="C314" t="s">
        <v>4534</v>
      </c>
      <c r="D314" t="s">
        <v>4535</v>
      </c>
    </row>
    <row r="315" spans="1:4" ht="11.25" customHeight="1">
      <c r="A315">
        <v>315</v>
      </c>
      <c r="B315" t="s">
        <v>4533</v>
      </c>
      <c r="C315" t="s">
        <v>4536</v>
      </c>
      <c r="D315" t="s">
        <v>4537</v>
      </c>
    </row>
    <row r="316" spans="1:4" ht="11.25" customHeight="1">
      <c r="A316">
        <v>316</v>
      </c>
      <c r="B316" t="s">
        <v>4533</v>
      </c>
      <c r="C316" t="s">
        <v>4538</v>
      </c>
      <c r="D316" t="s">
        <v>4539</v>
      </c>
    </row>
    <row r="317" spans="1:4" ht="11.25" customHeight="1">
      <c r="A317">
        <v>317</v>
      </c>
      <c r="B317" t="s">
        <v>4533</v>
      </c>
      <c r="C317" t="s">
        <v>4540</v>
      </c>
      <c r="D317" t="s">
        <v>4541</v>
      </c>
    </row>
    <row r="318" spans="1:4" ht="11.25" customHeight="1">
      <c r="A318">
        <v>318</v>
      </c>
      <c r="B318" t="s">
        <v>4533</v>
      </c>
      <c r="C318" t="s">
        <v>4542</v>
      </c>
      <c r="D318" t="s">
        <v>4543</v>
      </c>
    </row>
    <row r="319" spans="1:4" ht="11.25" customHeight="1">
      <c r="A319">
        <v>319</v>
      </c>
      <c r="B319" t="s">
        <v>4533</v>
      </c>
      <c r="C319" t="s">
        <v>4544</v>
      </c>
      <c r="D319" t="s">
        <v>4545</v>
      </c>
    </row>
    <row r="320" spans="1:4" ht="11.25" customHeight="1">
      <c r="A320">
        <v>320</v>
      </c>
      <c r="B320" t="s">
        <v>4533</v>
      </c>
      <c r="C320" t="s">
        <v>4546</v>
      </c>
      <c r="D320" t="s">
        <v>4547</v>
      </c>
    </row>
    <row r="321" spans="1:4" ht="11.25" customHeight="1">
      <c r="A321">
        <v>321</v>
      </c>
      <c r="B321" t="s">
        <v>4533</v>
      </c>
      <c r="C321" t="s">
        <v>4533</v>
      </c>
      <c r="D321" t="s">
        <v>4548</v>
      </c>
    </row>
    <row r="322" spans="1:4" ht="11.25" customHeight="1">
      <c r="A322">
        <v>322</v>
      </c>
      <c r="B322" t="s">
        <v>4533</v>
      </c>
      <c r="C322" t="s">
        <v>4549</v>
      </c>
      <c r="D322" t="s">
        <v>4550</v>
      </c>
    </row>
    <row r="323" spans="1:4" ht="11.25" customHeight="1">
      <c r="A323">
        <v>323</v>
      </c>
      <c r="B323" t="s">
        <v>4533</v>
      </c>
      <c r="C323" t="s">
        <v>4551</v>
      </c>
      <c r="D323" t="s">
        <v>4552</v>
      </c>
    </row>
    <row r="324" spans="1:4" ht="11.25" customHeight="1">
      <c r="A324">
        <v>324</v>
      </c>
      <c r="B324" t="s">
        <v>4533</v>
      </c>
      <c r="C324" t="s">
        <v>4350</v>
      </c>
      <c r="D324" t="s">
        <v>4553</v>
      </c>
    </row>
    <row r="325" spans="1:4" ht="11.25" customHeight="1">
      <c r="A325">
        <v>325</v>
      </c>
      <c r="B325" t="s">
        <v>4533</v>
      </c>
      <c r="C325" t="s">
        <v>4554</v>
      </c>
      <c r="D325" t="s">
        <v>4555</v>
      </c>
    </row>
    <row r="326" spans="1:4" ht="11.25" customHeight="1">
      <c r="A326">
        <v>326</v>
      </c>
      <c r="B326" t="s">
        <v>4533</v>
      </c>
      <c r="C326" t="s">
        <v>4556</v>
      </c>
      <c r="D326" t="s">
        <v>4557</v>
      </c>
    </row>
    <row r="327" spans="1:4" ht="11.25" customHeight="1">
      <c r="A327">
        <v>327</v>
      </c>
      <c r="B327" t="s">
        <v>4533</v>
      </c>
      <c r="C327" t="s">
        <v>4558</v>
      </c>
      <c r="D327" t="s">
        <v>4559</v>
      </c>
    </row>
    <row r="328" spans="1:4" ht="11.25" customHeight="1">
      <c r="A328">
        <v>328</v>
      </c>
      <c r="B328" t="s">
        <v>4560</v>
      </c>
      <c r="C328" t="s">
        <v>4561</v>
      </c>
      <c r="D328" t="s">
        <v>4562</v>
      </c>
    </row>
    <row r="329" spans="1:4" ht="11.25" customHeight="1">
      <c r="A329">
        <v>329</v>
      </c>
      <c r="B329" t="s">
        <v>4560</v>
      </c>
      <c r="C329" t="s">
        <v>4563</v>
      </c>
      <c r="D329" t="s">
        <v>4564</v>
      </c>
    </row>
    <row r="330" spans="1:4" ht="11.25" customHeight="1">
      <c r="A330">
        <v>330</v>
      </c>
      <c r="B330" t="s">
        <v>4560</v>
      </c>
      <c r="C330" t="s">
        <v>4565</v>
      </c>
      <c r="D330" t="s">
        <v>4566</v>
      </c>
    </row>
    <row r="331" spans="1:4" ht="11.25" customHeight="1">
      <c r="A331">
        <v>331</v>
      </c>
      <c r="B331" t="s">
        <v>4560</v>
      </c>
      <c r="C331" t="s">
        <v>4560</v>
      </c>
      <c r="D331" t="s">
        <v>4567</v>
      </c>
    </row>
    <row r="332" spans="1:4" ht="11.25" customHeight="1">
      <c r="A332">
        <v>332</v>
      </c>
      <c r="B332" t="s">
        <v>4560</v>
      </c>
      <c r="C332" t="s">
        <v>4067</v>
      </c>
      <c r="D332" t="s">
        <v>4568</v>
      </c>
    </row>
    <row r="333" spans="1:4" ht="11.25" customHeight="1">
      <c r="A333">
        <v>333</v>
      </c>
      <c r="B333" t="s">
        <v>4560</v>
      </c>
      <c r="C333" t="s">
        <v>4569</v>
      </c>
      <c r="D333" t="s">
        <v>4570</v>
      </c>
    </row>
    <row r="334" spans="1:4" ht="11.25" customHeight="1">
      <c r="A334">
        <v>334</v>
      </c>
      <c r="B334" t="s">
        <v>4560</v>
      </c>
      <c r="C334" t="s">
        <v>4049</v>
      </c>
      <c r="D334" t="s">
        <v>4571</v>
      </c>
    </row>
    <row r="335" spans="1:4" ht="11.25" customHeight="1">
      <c r="A335">
        <v>335</v>
      </c>
      <c r="B335" t="s">
        <v>4560</v>
      </c>
      <c r="C335" t="s">
        <v>4572</v>
      </c>
      <c r="D335" t="s">
        <v>4573</v>
      </c>
    </row>
    <row r="336" spans="1:4" ht="11.25" customHeight="1">
      <c r="A336">
        <v>336</v>
      </c>
      <c r="B336" t="s">
        <v>4560</v>
      </c>
      <c r="C336" t="s">
        <v>4574</v>
      </c>
      <c r="D336" t="s">
        <v>4575</v>
      </c>
    </row>
    <row r="337" spans="1:4" ht="11.25" customHeight="1">
      <c r="A337">
        <v>337</v>
      </c>
      <c r="B337" t="s">
        <v>4576</v>
      </c>
      <c r="C337" t="s">
        <v>4577</v>
      </c>
      <c r="D337" t="s">
        <v>4578</v>
      </c>
    </row>
    <row r="338" spans="1:4" ht="11.25" customHeight="1">
      <c r="A338">
        <v>338</v>
      </c>
      <c r="B338" t="s">
        <v>4576</v>
      </c>
      <c r="C338" t="s">
        <v>4579</v>
      </c>
      <c r="D338" t="s">
        <v>4580</v>
      </c>
    </row>
    <row r="339" spans="1:4" ht="11.25" customHeight="1">
      <c r="A339">
        <v>339</v>
      </c>
      <c r="B339" t="s">
        <v>4576</v>
      </c>
      <c r="C339" t="s">
        <v>4581</v>
      </c>
      <c r="D339" t="s">
        <v>4582</v>
      </c>
    </row>
    <row r="340" spans="1:4" ht="11.25" customHeight="1">
      <c r="A340">
        <v>340</v>
      </c>
      <c r="B340" t="s">
        <v>4576</v>
      </c>
      <c r="C340" t="s">
        <v>4583</v>
      </c>
      <c r="D340" t="s">
        <v>4584</v>
      </c>
    </row>
    <row r="341" spans="1:4" ht="11.25" customHeight="1">
      <c r="A341">
        <v>341</v>
      </c>
      <c r="B341" t="s">
        <v>4576</v>
      </c>
      <c r="C341" t="s">
        <v>4585</v>
      </c>
      <c r="D341" t="s">
        <v>4586</v>
      </c>
    </row>
    <row r="342" spans="1:4" ht="11.25" customHeight="1">
      <c r="A342">
        <v>342</v>
      </c>
      <c r="B342" t="s">
        <v>4576</v>
      </c>
      <c r="C342" t="s">
        <v>4576</v>
      </c>
      <c r="D342" t="s">
        <v>4587</v>
      </c>
    </row>
    <row r="343" spans="1:4" ht="11.25" customHeight="1">
      <c r="A343">
        <v>343</v>
      </c>
      <c r="B343" t="s">
        <v>4576</v>
      </c>
      <c r="C343" t="s">
        <v>4049</v>
      </c>
      <c r="D343" t="s">
        <v>4588</v>
      </c>
    </row>
    <row r="344" spans="1:4" ht="11.25" customHeight="1">
      <c r="A344">
        <v>344</v>
      </c>
      <c r="B344" t="s">
        <v>4576</v>
      </c>
      <c r="C344" t="s">
        <v>4589</v>
      </c>
      <c r="D344" t="s">
        <v>4590</v>
      </c>
    </row>
    <row r="345" spans="1:4" ht="11.25" customHeight="1">
      <c r="A345">
        <v>345</v>
      </c>
      <c r="B345" t="s">
        <v>4576</v>
      </c>
      <c r="C345" t="s">
        <v>4591</v>
      </c>
      <c r="D345" t="s">
        <v>4592</v>
      </c>
    </row>
    <row r="346" spans="1:4" ht="11.25" customHeight="1">
      <c r="A346">
        <v>346</v>
      </c>
      <c r="B346" t="s">
        <v>4576</v>
      </c>
      <c r="C346" t="s">
        <v>4593</v>
      </c>
      <c r="D346" t="s">
        <v>4594</v>
      </c>
    </row>
    <row r="347" spans="1:4" ht="11.25" customHeight="1">
      <c r="A347">
        <v>347</v>
      </c>
      <c r="B347" t="s">
        <v>4576</v>
      </c>
      <c r="C347" t="s">
        <v>4595</v>
      </c>
      <c r="D347" t="s">
        <v>4596</v>
      </c>
    </row>
    <row r="348" spans="1:4" ht="11.25" customHeight="1">
      <c r="A348">
        <v>348</v>
      </c>
      <c r="B348" t="s">
        <v>4576</v>
      </c>
      <c r="C348" t="s">
        <v>4597</v>
      </c>
      <c r="D348" t="s">
        <v>4598</v>
      </c>
    </row>
    <row r="349" spans="1:4" ht="11.25" customHeight="1">
      <c r="A349">
        <v>349</v>
      </c>
      <c r="B349" t="s">
        <v>4576</v>
      </c>
      <c r="C349" t="s">
        <v>4599</v>
      </c>
      <c r="D349" t="s">
        <v>4600</v>
      </c>
    </row>
    <row r="350" spans="1:4" ht="11.25" customHeight="1">
      <c r="A350">
        <v>350</v>
      </c>
      <c r="B350" t="s">
        <v>4601</v>
      </c>
      <c r="C350" t="s">
        <v>4602</v>
      </c>
      <c r="D350" t="s">
        <v>4603</v>
      </c>
    </row>
    <row r="351" spans="1:4" ht="11.25" customHeight="1">
      <c r="A351">
        <v>351</v>
      </c>
      <c r="B351" t="s">
        <v>4601</v>
      </c>
      <c r="C351" t="s">
        <v>4604</v>
      </c>
      <c r="D351" t="s">
        <v>4605</v>
      </c>
    </row>
    <row r="352" spans="1:4" ht="11.25" customHeight="1">
      <c r="A352">
        <v>352</v>
      </c>
      <c r="B352" t="s">
        <v>4601</v>
      </c>
      <c r="C352" t="s">
        <v>4606</v>
      </c>
      <c r="D352" t="s">
        <v>4607</v>
      </c>
    </row>
    <row r="353" spans="1:4" ht="11.25" customHeight="1">
      <c r="A353">
        <v>353</v>
      </c>
      <c r="B353" t="s">
        <v>4601</v>
      </c>
      <c r="C353" t="s">
        <v>4601</v>
      </c>
      <c r="D353" t="s">
        <v>4608</v>
      </c>
    </row>
    <row r="354" spans="1:4" ht="11.25" customHeight="1">
      <c r="A354">
        <v>354</v>
      </c>
      <c r="B354" t="s">
        <v>4601</v>
      </c>
      <c r="C354" t="s">
        <v>4609</v>
      </c>
      <c r="D354" t="s">
        <v>4610</v>
      </c>
    </row>
    <row r="355" spans="1:4" ht="11.25" customHeight="1">
      <c r="A355">
        <v>355</v>
      </c>
      <c r="B355" t="s">
        <v>4601</v>
      </c>
      <c r="C355" t="s">
        <v>4611</v>
      </c>
      <c r="D355" t="s">
        <v>4612</v>
      </c>
    </row>
    <row r="356" spans="1:4" ht="11.25" customHeight="1">
      <c r="A356">
        <v>356</v>
      </c>
      <c r="B356" t="s">
        <v>4601</v>
      </c>
      <c r="C356" t="s">
        <v>4121</v>
      </c>
      <c r="D356" t="s">
        <v>4613</v>
      </c>
    </row>
    <row r="357" spans="1:4" ht="11.25" customHeight="1">
      <c r="A357">
        <v>357</v>
      </c>
      <c r="B357" t="s">
        <v>4601</v>
      </c>
      <c r="C357" t="s">
        <v>4614</v>
      </c>
      <c r="D357" t="s">
        <v>4615</v>
      </c>
    </row>
    <row r="358" spans="1:4" ht="11.25" customHeight="1">
      <c r="A358">
        <v>358</v>
      </c>
      <c r="B358" t="s">
        <v>4616</v>
      </c>
      <c r="C358" t="s">
        <v>4617</v>
      </c>
      <c r="D358" t="s">
        <v>4618</v>
      </c>
    </row>
    <row r="359" spans="1:4" ht="11.25" customHeight="1">
      <c r="A359">
        <v>359</v>
      </c>
      <c r="B359" t="s">
        <v>4616</v>
      </c>
      <c r="C359" t="s">
        <v>4283</v>
      </c>
      <c r="D359" t="s">
        <v>4619</v>
      </c>
    </row>
    <row r="360" spans="1:4" ht="11.25" customHeight="1">
      <c r="A360">
        <v>360</v>
      </c>
      <c r="B360" t="s">
        <v>4616</v>
      </c>
      <c r="C360" t="s">
        <v>4620</v>
      </c>
      <c r="D360" t="s">
        <v>4621</v>
      </c>
    </row>
    <row r="361" spans="1:4" ht="11.25" customHeight="1">
      <c r="A361">
        <v>361</v>
      </c>
      <c r="B361" t="s">
        <v>4616</v>
      </c>
      <c r="C361" t="s">
        <v>4465</v>
      </c>
      <c r="D361" t="s">
        <v>4622</v>
      </c>
    </row>
    <row r="362" spans="1:4" ht="11.25" customHeight="1">
      <c r="A362">
        <v>362</v>
      </c>
      <c r="B362" t="s">
        <v>4616</v>
      </c>
      <c r="C362" t="s">
        <v>4540</v>
      </c>
      <c r="D362" t="s">
        <v>4623</v>
      </c>
    </row>
    <row r="363" spans="1:4" ht="11.25" customHeight="1">
      <c r="A363">
        <v>363</v>
      </c>
      <c r="B363" t="s">
        <v>4616</v>
      </c>
      <c r="C363" t="s">
        <v>4147</v>
      </c>
      <c r="D363" t="s">
        <v>4624</v>
      </c>
    </row>
    <row r="364" spans="1:4" ht="11.25" customHeight="1">
      <c r="A364">
        <v>364</v>
      </c>
      <c r="B364" t="s">
        <v>4616</v>
      </c>
      <c r="C364" t="s">
        <v>4625</v>
      </c>
      <c r="D364" t="s">
        <v>4626</v>
      </c>
    </row>
    <row r="365" spans="1:4" ht="11.25" customHeight="1">
      <c r="A365">
        <v>365</v>
      </c>
      <c r="B365" t="s">
        <v>4616</v>
      </c>
      <c r="C365" t="s">
        <v>4616</v>
      </c>
      <c r="D365" t="s">
        <v>4627</v>
      </c>
    </row>
    <row r="366" spans="1:4" ht="11.25" customHeight="1">
      <c r="A366">
        <v>366</v>
      </c>
      <c r="B366" t="s">
        <v>4616</v>
      </c>
      <c r="C366" t="s">
        <v>4628</v>
      </c>
      <c r="D366" t="s">
        <v>4629</v>
      </c>
    </row>
    <row r="367" spans="1:4" ht="11.25" customHeight="1">
      <c r="A367">
        <v>367</v>
      </c>
      <c r="B367" t="s">
        <v>4616</v>
      </c>
      <c r="C367" t="s">
        <v>4630</v>
      </c>
      <c r="D367" t="s">
        <v>4631</v>
      </c>
    </row>
    <row r="368" spans="1:4" ht="11.25" customHeight="1">
      <c r="A368">
        <v>368</v>
      </c>
      <c r="B368" t="s">
        <v>4616</v>
      </c>
      <c r="C368" t="s">
        <v>4632</v>
      </c>
      <c r="D368" t="s">
        <v>4633</v>
      </c>
    </row>
    <row r="369" spans="1:4" ht="11.25" customHeight="1">
      <c r="A369">
        <v>369</v>
      </c>
      <c r="B369" t="s">
        <v>4616</v>
      </c>
      <c r="C369" t="s">
        <v>4634</v>
      </c>
      <c r="D369" t="s">
        <v>4635</v>
      </c>
    </row>
    <row r="370" spans="1:4" ht="11.25" customHeight="1">
      <c r="A370">
        <v>370</v>
      </c>
      <c r="B370" t="s">
        <v>4616</v>
      </c>
      <c r="C370" t="s">
        <v>4636</v>
      </c>
      <c r="D370" t="s">
        <v>4637</v>
      </c>
    </row>
    <row r="371" spans="1:4" ht="11.25" customHeight="1">
      <c r="A371">
        <v>371</v>
      </c>
      <c r="B371" t="s">
        <v>4616</v>
      </c>
      <c r="C371" t="s">
        <v>4638</v>
      </c>
      <c r="D371" t="s">
        <v>4639</v>
      </c>
    </row>
    <row r="372" spans="1:4" ht="11.25" customHeight="1">
      <c r="A372">
        <v>372</v>
      </c>
      <c r="B372" t="s">
        <v>4616</v>
      </c>
      <c r="C372" t="s">
        <v>4640</v>
      </c>
      <c r="D372" t="s">
        <v>4641</v>
      </c>
    </row>
    <row r="373" spans="1:4" ht="11.25" customHeight="1">
      <c r="A373">
        <v>373</v>
      </c>
      <c r="B373" t="s">
        <v>4616</v>
      </c>
      <c r="C373" t="s">
        <v>4642</v>
      </c>
      <c r="D373" t="s">
        <v>4643</v>
      </c>
    </row>
    <row r="374" spans="1:4" ht="11.25" customHeight="1">
      <c r="A374">
        <v>374</v>
      </c>
      <c r="B374" t="s">
        <v>4644</v>
      </c>
      <c r="C374" t="s">
        <v>4645</v>
      </c>
      <c r="D374" t="s">
        <v>4646</v>
      </c>
    </row>
    <row r="375" spans="1:4" ht="11.25" customHeight="1">
      <c r="A375">
        <v>375</v>
      </c>
      <c r="B375" t="s">
        <v>4644</v>
      </c>
      <c r="C375" t="s">
        <v>4647</v>
      </c>
      <c r="D375" t="s">
        <v>4648</v>
      </c>
    </row>
    <row r="376" spans="1:4" ht="11.25" customHeight="1">
      <c r="A376">
        <v>376</v>
      </c>
      <c r="B376" t="s">
        <v>4644</v>
      </c>
      <c r="C376" t="s">
        <v>4649</v>
      </c>
      <c r="D376" t="s">
        <v>4650</v>
      </c>
    </row>
    <row r="377" spans="1:4" ht="11.25" customHeight="1">
      <c r="A377">
        <v>377</v>
      </c>
      <c r="B377" t="s">
        <v>4644</v>
      </c>
      <c r="C377" t="s">
        <v>4651</v>
      </c>
      <c r="D377" t="s">
        <v>4652</v>
      </c>
    </row>
    <row r="378" spans="1:4" ht="11.25" customHeight="1">
      <c r="A378">
        <v>378</v>
      </c>
      <c r="B378" t="s">
        <v>4644</v>
      </c>
      <c r="C378" t="s">
        <v>4653</v>
      </c>
      <c r="D378" t="s">
        <v>4654</v>
      </c>
    </row>
    <row r="379" spans="1:4" ht="11.25" customHeight="1">
      <c r="A379">
        <v>379</v>
      </c>
      <c r="B379" t="s">
        <v>4644</v>
      </c>
      <c r="C379" t="s">
        <v>4644</v>
      </c>
      <c r="D379" t="s">
        <v>4655</v>
      </c>
    </row>
    <row r="380" spans="1:4" ht="11.25" customHeight="1">
      <c r="A380">
        <v>380</v>
      </c>
      <c r="B380" t="s">
        <v>4644</v>
      </c>
      <c r="C380" t="s">
        <v>4656</v>
      </c>
      <c r="D380" t="s">
        <v>4657</v>
      </c>
    </row>
    <row r="381" spans="1:4" ht="11.25" customHeight="1">
      <c r="A381">
        <v>381</v>
      </c>
      <c r="B381" t="s">
        <v>4644</v>
      </c>
      <c r="C381" t="s">
        <v>4658</v>
      </c>
      <c r="D381" t="s">
        <v>4659</v>
      </c>
    </row>
    <row r="382" spans="1:4" ht="11.25" customHeight="1">
      <c r="A382">
        <v>382</v>
      </c>
      <c r="B382" t="s">
        <v>4644</v>
      </c>
      <c r="C382" t="s">
        <v>4660</v>
      </c>
      <c r="D382" t="s">
        <v>4661</v>
      </c>
    </row>
    <row r="383" spans="1:4" ht="11.25" customHeight="1">
      <c r="A383">
        <v>383</v>
      </c>
      <c r="B383" t="s">
        <v>4644</v>
      </c>
      <c r="C383" t="s">
        <v>4662</v>
      </c>
      <c r="D383" t="s">
        <v>4663</v>
      </c>
    </row>
    <row r="384" spans="1:4" ht="11.25" customHeight="1">
      <c r="A384">
        <v>384</v>
      </c>
      <c r="B384" t="s">
        <v>4664</v>
      </c>
      <c r="C384" t="s">
        <v>4665</v>
      </c>
      <c r="D384" t="s">
        <v>4666</v>
      </c>
    </row>
    <row r="385" spans="1:4" ht="11.25" customHeight="1">
      <c r="A385">
        <v>385</v>
      </c>
      <c r="B385" t="s">
        <v>4664</v>
      </c>
      <c r="C385" t="s">
        <v>4667</v>
      </c>
      <c r="D385" t="s">
        <v>4668</v>
      </c>
    </row>
    <row r="386" spans="1:4" ht="11.25" customHeight="1">
      <c r="A386">
        <v>386</v>
      </c>
      <c r="B386" t="s">
        <v>4664</v>
      </c>
      <c r="C386" t="s">
        <v>4102</v>
      </c>
      <c r="D386" t="s">
        <v>4669</v>
      </c>
    </row>
    <row r="387" spans="1:4" ht="11.25" customHeight="1">
      <c r="A387">
        <v>387</v>
      </c>
      <c r="B387" t="s">
        <v>4664</v>
      </c>
      <c r="C387" t="s">
        <v>4670</v>
      </c>
      <c r="D387" t="s">
        <v>4671</v>
      </c>
    </row>
    <row r="388" spans="1:4" ht="11.25" customHeight="1">
      <c r="A388">
        <v>388</v>
      </c>
      <c r="B388" t="s">
        <v>4664</v>
      </c>
      <c r="C388" t="s">
        <v>4672</v>
      </c>
      <c r="D388" t="s">
        <v>4673</v>
      </c>
    </row>
    <row r="389" spans="1:4" ht="11.25" customHeight="1">
      <c r="A389">
        <v>389</v>
      </c>
      <c r="B389" t="s">
        <v>4664</v>
      </c>
      <c r="C389" t="s">
        <v>4674</v>
      </c>
      <c r="D389" t="s">
        <v>4675</v>
      </c>
    </row>
    <row r="390" spans="1:4" ht="11.25" customHeight="1">
      <c r="A390">
        <v>390</v>
      </c>
      <c r="B390" t="s">
        <v>4664</v>
      </c>
      <c r="C390" t="s">
        <v>4676</v>
      </c>
      <c r="D390" t="s">
        <v>4677</v>
      </c>
    </row>
    <row r="391" spans="1:4" ht="11.25" customHeight="1">
      <c r="A391">
        <v>391</v>
      </c>
      <c r="B391" t="s">
        <v>4664</v>
      </c>
      <c r="C391" t="s">
        <v>4678</v>
      </c>
      <c r="D391" t="s">
        <v>4679</v>
      </c>
    </row>
    <row r="392" spans="1:4" ht="11.25" customHeight="1">
      <c r="A392">
        <v>392</v>
      </c>
      <c r="B392" t="s">
        <v>4664</v>
      </c>
      <c r="C392" t="s">
        <v>4680</v>
      </c>
      <c r="D392" t="s">
        <v>4681</v>
      </c>
    </row>
    <row r="393" spans="1:4" ht="11.25" customHeight="1">
      <c r="A393">
        <v>393</v>
      </c>
      <c r="B393" t="s">
        <v>4664</v>
      </c>
      <c r="C393" t="s">
        <v>4682</v>
      </c>
      <c r="D393" t="s">
        <v>4683</v>
      </c>
    </row>
    <row r="394" spans="1:4" ht="11.25" customHeight="1">
      <c r="A394">
        <v>394</v>
      </c>
      <c r="B394" t="s">
        <v>4664</v>
      </c>
      <c r="C394" t="s">
        <v>4664</v>
      </c>
      <c r="D394" t="s">
        <v>4684</v>
      </c>
    </row>
    <row r="395" spans="1:4" ht="11.25" customHeight="1">
      <c r="A395">
        <v>395</v>
      </c>
      <c r="B395" t="s">
        <v>4664</v>
      </c>
      <c r="C395" t="s">
        <v>4027</v>
      </c>
      <c r="D395" t="s">
        <v>4685</v>
      </c>
    </row>
    <row r="396" spans="1:4" ht="11.25" customHeight="1">
      <c r="A396">
        <v>396</v>
      </c>
      <c r="B396" t="s">
        <v>4664</v>
      </c>
      <c r="C396" t="s">
        <v>4686</v>
      </c>
      <c r="D396" t="s">
        <v>4687</v>
      </c>
    </row>
    <row r="397" spans="1:4" ht="11.25" customHeight="1">
      <c r="A397">
        <v>397</v>
      </c>
      <c r="B397" t="s">
        <v>4664</v>
      </c>
      <c r="C397" t="s">
        <v>4688</v>
      </c>
      <c r="D397" t="s">
        <v>4689</v>
      </c>
    </row>
    <row r="398" spans="1:4" ht="11.25" customHeight="1">
      <c r="A398">
        <v>398</v>
      </c>
      <c r="B398" t="s">
        <v>4664</v>
      </c>
      <c r="C398" t="s">
        <v>4690</v>
      </c>
      <c r="D398" t="s">
        <v>4691</v>
      </c>
    </row>
    <row r="399" spans="1:4" ht="11.25" customHeight="1">
      <c r="A399">
        <v>399</v>
      </c>
      <c r="B399" t="s">
        <v>4664</v>
      </c>
      <c r="C399" t="s">
        <v>4692</v>
      </c>
      <c r="D399" t="s">
        <v>4693</v>
      </c>
    </row>
    <row r="400" spans="1:4" ht="11.25" customHeight="1">
      <c r="A400">
        <v>400</v>
      </c>
      <c r="B400" t="s">
        <v>4664</v>
      </c>
      <c r="C400" t="s">
        <v>4694</v>
      </c>
      <c r="D400" t="s">
        <v>4695</v>
      </c>
    </row>
    <row r="401" spans="1:4" ht="11.25" customHeight="1">
      <c r="A401">
        <v>401</v>
      </c>
      <c r="B401" t="s">
        <v>4664</v>
      </c>
      <c r="C401" t="s">
        <v>4696</v>
      </c>
      <c r="D401" t="s">
        <v>4697</v>
      </c>
    </row>
    <row r="402" spans="1:4" ht="11.25" customHeight="1">
      <c r="A402">
        <v>402</v>
      </c>
      <c r="B402" t="s">
        <v>4664</v>
      </c>
      <c r="C402" t="s">
        <v>4698</v>
      </c>
      <c r="D402" t="s">
        <v>4699</v>
      </c>
    </row>
    <row r="403" spans="1:4" ht="11.25" customHeight="1">
      <c r="A403">
        <v>403</v>
      </c>
      <c r="B403" t="s">
        <v>4700</v>
      </c>
      <c r="C403" t="s">
        <v>4038</v>
      </c>
      <c r="D403" t="s">
        <v>4701</v>
      </c>
    </row>
    <row r="404" spans="1:4" ht="11.25" customHeight="1">
      <c r="A404">
        <v>404</v>
      </c>
      <c r="B404" t="s">
        <v>4700</v>
      </c>
      <c r="C404" t="s">
        <v>4702</v>
      </c>
      <c r="D404" t="s">
        <v>4703</v>
      </c>
    </row>
    <row r="405" spans="1:4" ht="11.25" customHeight="1">
      <c r="A405">
        <v>405</v>
      </c>
      <c r="B405" t="s">
        <v>4700</v>
      </c>
      <c r="C405" t="s">
        <v>4704</v>
      </c>
      <c r="D405" t="s">
        <v>4705</v>
      </c>
    </row>
    <row r="406" spans="1:4" ht="11.25" customHeight="1">
      <c r="A406">
        <v>406</v>
      </c>
      <c r="B406" t="s">
        <v>4700</v>
      </c>
      <c r="C406" t="s">
        <v>4185</v>
      </c>
      <c r="D406" t="s">
        <v>4706</v>
      </c>
    </row>
    <row r="407" spans="1:4" ht="11.25" customHeight="1">
      <c r="A407">
        <v>407</v>
      </c>
      <c r="B407" t="s">
        <v>4700</v>
      </c>
      <c r="C407" t="s">
        <v>4049</v>
      </c>
      <c r="D407" t="s">
        <v>4707</v>
      </c>
    </row>
    <row r="408" spans="1:4" ht="11.25" customHeight="1">
      <c r="A408">
        <v>408</v>
      </c>
      <c r="B408" t="s">
        <v>4700</v>
      </c>
      <c r="C408" t="s">
        <v>4708</v>
      </c>
      <c r="D408" t="s">
        <v>4709</v>
      </c>
    </row>
    <row r="409" spans="1:4" ht="11.25" customHeight="1">
      <c r="A409">
        <v>409</v>
      </c>
      <c r="B409" t="s">
        <v>4700</v>
      </c>
      <c r="C409" t="s">
        <v>4710</v>
      </c>
      <c r="D409" t="s">
        <v>4711</v>
      </c>
    </row>
    <row r="410" spans="1:4" ht="11.25" customHeight="1">
      <c r="A410">
        <v>410</v>
      </c>
      <c r="B410" t="s">
        <v>4700</v>
      </c>
      <c r="C410" t="s">
        <v>4700</v>
      </c>
      <c r="D410" t="s">
        <v>4712</v>
      </c>
    </row>
    <row r="411" spans="1:4" ht="11.25" customHeight="1">
      <c r="A411">
        <v>411</v>
      </c>
      <c r="B411" t="s">
        <v>4700</v>
      </c>
      <c r="C411" t="s">
        <v>4713</v>
      </c>
      <c r="D411" t="s">
        <v>4714</v>
      </c>
    </row>
    <row r="412" spans="1:4" ht="11.25" customHeight="1">
      <c r="A412">
        <v>412</v>
      </c>
      <c r="B412" t="s">
        <v>4700</v>
      </c>
      <c r="C412" t="s">
        <v>4715</v>
      </c>
      <c r="D412" t="s">
        <v>4716</v>
      </c>
    </row>
    <row r="413" spans="1:4" ht="11.25" customHeight="1">
      <c r="A413">
        <v>413</v>
      </c>
      <c r="B413" t="s">
        <v>4717</v>
      </c>
      <c r="C413" t="s">
        <v>4718</v>
      </c>
      <c r="D413" t="s">
        <v>4719</v>
      </c>
    </row>
    <row r="414" spans="1:4" ht="11.25" customHeight="1">
      <c r="A414">
        <v>414</v>
      </c>
      <c r="B414" t="s">
        <v>4717</v>
      </c>
      <c r="C414" t="s">
        <v>4720</v>
      </c>
      <c r="D414" t="s">
        <v>4721</v>
      </c>
    </row>
    <row r="415" spans="1:4" ht="11.25" customHeight="1">
      <c r="A415">
        <v>415</v>
      </c>
      <c r="B415" t="s">
        <v>4717</v>
      </c>
      <c r="C415" t="s">
        <v>4722</v>
      </c>
      <c r="D415" t="s">
        <v>4723</v>
      </c>
    </row>
    <row r="416" spans="1:4" ht="11.25" customHeight="1">
      <c r="A416">
        <v>416</v>
      </c>
      <c r="B416" t="s">
        <v>4717</v>
      </c>
      <c r="C416" t="s">
        <v>4724</v>
      </c>
      <c r="D416" t="s">
        <v>4725</v>
      </c>
    </row>
    <row r="417" spans="1:4" ht="11.25" customHeight="1">
      <c r="A417">
        <v>417</v>
      </c>
      <c r="B417" t="s">
        <v>4717</v>
      </c>
      <c r="C417" t="s">
        <v>4726</v>
      </c>
      <c r="D417" t="s">
        <v>4727</v>
      </c>
    </row>
    <row r="418" spans="1:4" ht="11.25" customHeight="1">
      <c r="A418">
        <v>418</v>
      </c>
      <c r="B418" t="s">
        <v>4717</v>
      </c>
      <c r="C418" t="s">
        <v>4728</v>
      </c>
      <c r="D418" t="s">
        <v>4729</v>
      </c>
    </row>
    <row r="419" spans="1:4" ht="11.25" customHeight="1">
      <c r="A419">
        <v>419</v>
      </c>
      <c r="B419" t="s">
        <v>4717</v>
      </c>
      <c r="C419" t="s">
        <v>4549</v>
      </c>
      <c r="D419" t="s">
        <v>4730</v>
      </c>
    </row>
    <row r="420" spans="1:4" ht="11.25" customHeight="1">
      <c r="A420">
        <v>420</v>
      </c>
      <c r="B420" t="s">
        <v>4717</v>
      </c>
      <c r="C420" t="s">
        <v>4049</v>
      </c>
      <c r="D420" t="s">
        <v>4731</v>
      </c>
    </row>
    <row r="421" spans="1:4" ht="11.25" customHeight="1">
      <c r="A421">
        <v>421</v>
      </c>
      <c r="B421" t="s">
        <v>4717</v>
      </c>
      <c r="C421" t="s">
        <v>4732</v>
      </c>
      <c r="D421" t="s">
        <v>4733</v>
      </c>
    </row>
    <row r="422" spans="1:4" ht="11.25" customHeight="1">
      <c r="A422">
        <v>422</v>
      </c>
      <c r="B422" t="s">
        <v>4717</v>
      </c>
      <c r="C422" t="s">
        <v>4734</v>
      </c>
      <c r="D422" t="s">
        <v>4735</v>
      </c>
    </row>
    <row r="423" spans="1:4" ht="11.25" customHeight="1">
      <c r="A423">
        <v>423</v>
      </c>
      <c r="B423" t="s">
        <v>4717</v>
      </c>
      <c r="C423" t="s">
        <v>4717</v>
      </c>
      <c r="D423" t="s">
        <v>4736</v>
      </c>
    </row>
    <row r="424" spans="1:4" ht="11.25" customHeight="1">
      <c r="A424">
        <v>424</v>
      </c>
      <c r="B424" t="s">
        <v>4717</v>
      </c>
      <c r="C424" t="s">
        <v>4737</v>
      </c>
      <c r="D424" t="s">
        <v>4738</v>
      </c>
    </row>
    <row r="425" spans="1:4" ht="11.25" customHeight="1">
      <c r="A425">
        <v>425</v>
      </c>
      <c r="B425" t="s">
        <v>4739</v>
      </c>
      <c r="C425" t="s">
        <v>3972</v>
      </c>
      <c r="D425" t="s">
        <v>4740</v>
      </c>
    </row>
    <row r="426" spans="1:4" ht="11.25" customHeight="1">
      <c r="A426">
        <v>426</v>
      </c>
      <c r="B426" t="s">
        <v>4739</v>
      </c>
      <c r="C426" t="s">
        <v>4741</v>
      </c>
      <c r="D426" t="s">
        <v>4742</v>
      </c>
    </row>
    <row r="427" spans="1:4" ht="11.25" customHeight="1">
      <c r="A427">
        <v>427</v>
      </c>
      <c r="B427" t="s">
        <v>4739</v>
      </c>
      <c r="C427" t="s">
        <v>4743</v>
      </c>
      <c r="D427" t="s">
        <v>4744</v>
      </c>
    </row>
    <row r="428" spans="1:4" ht="11.25" customHeight="1">
      <c r="A428">
        <v>428</v>
      </c>
      <c r="B428" t="s">
        <v>4739</v>
      </c>
      <c r="C428" t="s">
        <v>4745</v>
      </c>
      <c r="D428" t="s">
        <v>4746</v>
      </c>
    </row>
    <row r="429" spans="1:4" ht="11.25" customHeight="1">
      <c r="A429">
        <v>429</v>
      </c>
      <c r="B429" t="s">
        <v>4739</v>
      </c>
      <c r="C429" t="s">
        <v>4747</v>
      </c>
      <c r="D429" t="s">
        <v>4748</v>
      </c>
    </row>
    <row r="430" spans="1:4" ht="11.25" customHeight="1">
      <c r="A430">
        <v>430</v>
      </c>
      <c r="B430" t="s">
        <v>4739</v>
      </c>
      <c r="C430" t="s">
        <v>4749</v>
      </c>
      <c r="D430" t="s">
        <v>4750</v>
      </c>
    </row>
    <row r="431" spans="1:4" ht="11.25" customHeight="1">
      <c r="A431">
        <v>431</v>
      </c>
      <c r="B431" t="s">
        <v>4739</v>
      </c>
      <c r="C431" t="s">
        <v>4751</v>
      </c>
      <c r="D431" t="s">
        <v>4752</v>
      </c>
    </row>
    <row r="432" spans="1:4" ht="11.25" customHeight="1">
      <c r="A432">
        <v>432</v>
      </c>
      <c r="B432" t="s">
        <v>4739</v>
      </c>
      <c r="C432" t="s">
        <v>4753</v>
      </c>
      <c r="D432" t="s">
        <v>4754</v>
      </c>
    </row>
    <row r="433" spans="1:4" ht="11.25" customHeight="1">
      <c r="A433">
        <v>433</v>
      </c>
      <c r="B433" t="s">
        <v>4739</v>
      </c>
      <c r="C433" t="s">
        <v>4755</v>
      </c>
      <c r="D433" t="s">
        <v>4756</v>
      </c>
    </row>
    <row r="434" spans="1:4" ht="11.25" customHeight="1">
      <c r="A434">
        <v>434</v>
      </c>
      <c r="B434" t="s">
        <v>4739</v>
      </c>
      <c r="C434" t="s">
        <v>4739</v>
      </c>
      <c r="D434" t="s">
        <v>4757</v>
      </c>
    </row>
    <row r="435" spans="1:4" ht="11.25" customHeight="1">
      <c r="A435">
        <v>435</v>
      </c>
      <c r="B435" t="s">
        <v>4739</v>
      </c>
      <c r="C435" t="s">
        <v>4758</v>
      </c>
      <c r="D435" t="s">
        <v>4759</v>
      </c>
    </row>
    <row r="436" spans="1:4" ht="11.25" customHeight="1">
      <c r="A436">
        <v>436</v>
      </c>
      <c r="B436" t="s">
        <v>4739</v>
      </c>
      <c r="C436" t="s">
        <v>4760</v>
      </c>
      <c r="D436" t="s">
        <v>4761</v>
      </c>
    </row>
    <row r="437" spans="1:4" ht="11.25" customHeight="1">
      <c r="A437">
        <v>437</v>
      </c>
      <c r="B437" t="s">
        <v>4739</v>
      </c>
      <c r="C437" t="s">
        <v>4762</v>
      </c>
      <c r="D437" t="s">
        <v>4763</v>
      </c>
    </row>
    <row r="438" spans="1:4" ht="11.25" customHeight="1">
      <c r="A438">
        <v>438</v>
      </c>
      <c r="B438" t="s">
        <v>4739</v>
      </c>
      <c r="C438" t="s">
        <v>4764</v>
      </c>
      <c r="D438" t="s">
        <v>4765</v>
      </c>
    </row>
    <row r="439" spans="1:4" ht="11.25" customHeight="1">
      <c r="A439">
        <v>439</v>
      </c>
      <c r="B439" t="s">
        <v>4766</v>
      </c>
      <c r="C439" t="s">
        <v>4767</v>
      </c>
      <c r="D439" t="s">
        <v>4768</v>
      </c>
    </row>
    <row r="440" spans="1:4" ht="11.25" customHeight="1">
      <c r="A440">
        <v>440</v>
      </c>
      <c r="B440" t="s">
        <v>4766</v>
      </c>
      <c r="C440" t="s">
        <v>4769</v>
      </c>
      <c r="D440" t="s">
        <v>4770</v>
      </c>
    </row>
    <row r="441" spans="1:4" ht="11.25" customHeight="1">
      <c r="A441">
        <v>441</v>
      </c>
      <c r="B441" t="s">
        <v>4766</v>
      </c>
      <c r="C441" t="s">
        <v>4771</v>
      </c>
      <c r="D441" t="s">
        <v>4772</v>
      </c>
    </row>
    <row r="442" spans="1:4" ht="11.25" customHeight="1">
      <c r="A442">
        <v>442</v>
      </c>
      <c r="B442" t="s">
        <v>4766</v>
      </c>
      <c r="C442" t="s">
        <v>4773</v>
      </c>
      <c r="D442" t="s">
        <v>4774</v>
      </c>
    </row>
    <row r="443" spans="1:4" ht="11.25" customHeight="1">
      <c r="A443">
        <v>443</v>
      </c>
      <c r="B443" t="s">
        <v>4766</v>
      </c>
      <c r="C443" t="s">
        <v>4350</v>
      </c>
      <c r="D443" t="s">
        <v>4775</v>
      </c>
    </row>
    <row r="444" spans="1:4" ht="11.25" customHeight="1">
      <c r="A444">
        <v>444</v>
      </c>
      <c r="B444" t="s">
        <v>4766</v>
      </c>
      <c r="C444" t="s">
        <v>4776</v>
      </c>
      <c r="D444" t="s">
        <v>4777</v>
      </c>
    </row>
    <row r="445" spans="1:4" ht="11.25" customHeight="1">
      <c r="A445">
        <v>445</v>
      </c>
      <c r="B445" t="s">
        <v>4766</v>
      </c>
      <c r="C445" t="s">
        <v>4766</v>
      </c>
      <c r="D445" t="s">
        <v>4778</v>
      </c>
    </row>
    <row r="446" spans="1:4" ht="11.25" customHeight="1">
      <c r="A446">
        <v>446</v>
      </c>
      <c r="B446" t="s">
        <v>4766</v>
      </c>
      <c r="C446" t="s">
        <v>4779</v>
      </c>
      <c r="D446" t="s">
        <v>4780</v>
      </c>
    </row>
    <row r="447" spans="1:4" ht="11.25" customHeight="1">
      <c r="A447">
        <v>447</v>
      </c>
      <c r="B447" t="s">
        <v>4766</v>
      </c>
      <c r="C447" t="s">
        <v>4781</v>
      </c>
      <c r="D447" t="s">
        <v>4782</v>
      </c>
    </row>
    <row r="448" spans="1:4" ht="11.25" customHeight="1">
      <c r="A448">
        <v>448</v>
      </c>
      <c r="B448" t="s">
        <v>4766</v>
      </c>
      <c r="C448" t="s">
        <v>4783</v>
      </c>
      <c r="D448" t="s">
        <v>4784</v>
      </c>
    </row>
    <row r="449" spans="1:4" ht="11.25" customHeight="1">
      <c r="A449">
        <v>449</v>
      </c>
      <c r="B449" t="s">
        <v>4766</v>
      </c>
      <c r="C449" t="s">
        <v>4785</v>
      </c>
      <c r="D449" t="s">
        <v>4786</v>
      </c>
    </row>
    <row r="450" spans="1:4" ht="11.25" customHeight="1">
      <c r="A450">
        <v>450</v>
      </c>
      <c r="B450" t="s">
        <v>4766</v>
      </c>
      <c r="C450" t="s">
        <v>4787</v>
      </c>
      <c r="D450" t="s">
        <v>4788</v>
      </c>
    </row>
    <row r="451" spans="1:4" ht="11.25" customHeight="1">
      <c r="A451">
        <v>451</v>
      </c>
      <c r="B451" t="s">
        <v>4766</v>
      </c>
      <c r="C451" t="s">
        <v>4789</v>
      </c>
      <c r="D451" t="s">
        <v>4790</v>
      </c>
    </row>
    <row r="452" spans="1:4" ht="11.25" customHeight="1">
      <c r="A452">
        <v>452</v>
      </c>
      <c r="B452" t="s">
        <v>4791</v>
      </c>
      <c r="C452" t="s">
        <v>4792</v>
      </c>
      <c r="D452" t="s">
        <v>4793</v>
      </c>
    </row>
    <row r="453" spans="1:4" ht="11.25" customHeight="1">
      <c r="A453">
        <v>453</v>
      </c>
      <c r="B453" t="s">
        <v>4791</v>
      </c>
      <c r="C453" t="s">
        <v>4794</v>
      </c>
      <c r="D453" t="s">
        <v>4795</v>
      </c>
    </row>
    <row r="454" spans="1:4" ht="11.25" customHeight="1">
      <c r="A454">
        <v>454</v>
      </c>
      <c r="B454" t="s">
        <v>4791</v>
      </c>
      <c r="C454" t="s">
        <v>4796</v>
      </c>
      <c r="D454" t="s">
        <v>4797</v>
      </c>
    </row>
    <row r="455" spans="1:4" ht="11.25" customHeight="1">
      <c r="A455">
        <v>455</v>
      </c>
      <c r="B455" t="s">
        <v>4791</v>
      </c>
      <c r="C455" t="s">
        <v>4798</v>
      </c>
      <c r="D455" t="s">
        <v>4799</v>
      </c>
    </row>
    <row r="456" spans="1:4" ht="11.25" customHeight="1">
      <c r="A456">
        <v>456</v>
      </c>
      <c r="B456" t="s">
        <v>4791</v>
      </c>
      <c r="C456" t="s">
        <v>4800</v>
      </c>
      <c r="D456" t="s">
        <v>4801</v>
      </c>
    </row>
    <row r="457" spans="1:4" ht="11.25" customHeight="1">
      <c r="A457">
        <v>457</v>
      </c>
      <c r="B457" t="s">
        <v>4791</v>
      </c>
      <c r="C457" t="s">
        <v>4463</v>
      </c>
      <c r="D457" t="s">
        <v>4802</v>
      </c>
    </row>
    <row r="458" spans="1:4" ht="11.25" customHeight="1">
      <c r="A458">
        <v>458</v>
      </c>
      <c r="B458" t="s">
        <v>4791</v>
      </c>
      <c r="C458" t="s">
        <v>4803</v>
      </c>
      <c r="D458" t="s">
        <v>4804</v>
      </c>
    </row>
    <row r="459" spans="1:4" ht="11.25" customHeight="1">
      <c r="A459">
        <v>459</v>
      </c>
      <c r="B459" t="s">
        <v>4791</v>
      </c>
      <c r="C459" t="s">
        <v>4805</v>
      </c>
      <c r="D459" t="s">
        <v>4806</v>
      </c>
    </row>
    <row r="460" spans="1:4" ht="11.25" customHeight="1">
      <c r="A460">
        <v>460</v>
      </c>
      <c r="B460" t="s">
        <v>4791</v>
      </c>
      <c r="C460" t="s">
        <v>4807</v>
      </c>
      <c r="D460" t="s">
        <v>4808</v>
      </c>
    </row>
    <row r="461" spans="1:4" ht="11.25" customHeight="1">
      <c r="A461">
        <v>461</v>
      </c>
      <c r="B461" t="s">
        <v>4791</v>
      </c>
      <c r="C461" t="s">
        <v>4791</v>
      </c>
      <c r="D461" t="s">
        <v>4809</v>
      </c>
    </row>
    <row r="462" spans="1:4" ht="11.25" customHeight="1">
      <c r="A462">
        <v>462</v>
      </c>
      <c r="B462" t="s">
        <v>4791</v>
      </c>
      <c r="C462" t="s">
        <v>4660</v>
      </c>
      <c r="D462" t="s">
        <v>4810</v>
      </c>
    </row>
    <row r="463" spans="1:4" ht="11.25" customHeight="1">
      <c r="A463">
        <v>463</v>
      </c>
      <c r="B463" t="s">
        <v>4791</v>
      </c>
      <c r="C463" t="s">
        <v>4811</v>
      </c>
      <c r="D463" t="s">
        <v>4812</v>
      </c>
    </row>
    <row r="464" spans="1:4" ht="11.25" customHeight="1">
      <c r="A464">
        <v>464</v>
      </c>
      <c r="B464" t="s">
        <v>4791</v>
      </c>
      <c r="C464" t="s">
        <v>4813</v>
      </c>
      <c r="D464" t="s">
        <v>4814</v>
      </c>
    </row>
    <row r="465" spans="1:4" ht="11.25" customHeight="1">
      <c r="A465">
        <v>465</v>
      </c>
      <c r="B465" t="s">
        <v>4815</v>
      </c>
      <c r="C465" t="s">
        <v>4816</v>
      </c>
      <c r="D465" t="s">
        <v>4817</v>
      </c>
    </row>
    <row r="466" spans="1:4" ht="11.25" customHeight="1">
      <c r="A466">
        <v>466</v>
      </c>
      <c r="B466" t="s">
        <v>4815</v>
      </c>
      <c r="C466" t="s">
        <v>4818</v>
      </c>
      <c r="D466" t="s">
        <v>4819</v>
      </c>
    </row>
    <row r="467" spans="1:4" ht="11.25" customHeight="1">
      <c r="A467">
        <v>467</v>
      </c>
      <c r="B467" t="s">
        <v>4815</v>
      </c>
      <c r="C467" t="s">
        <v>4820</v>
      </c>
      <c r="D467" t="s">
        <v>4821</v>
      </c>
    </row>
    <row r="468" spans="1:4" ht="11.25" customHeight="1">
      <c r="A468">
        <v>468</v>
      </c>
      <c r="B468" t="s">
        <v>4815</v>
      </c>
      <c r="C468" t="s">
        <v>4822</v>
      </c>
      <c r="D468" t="s">
        <v>4823</v>
      </c>
    </row>
    <row r="469" spans="1:4" ht="11.25" customHeight="1">
      <c r="A469">
        <v>469</v>
      </c>
      <c r="B469" t="s">
        <v>4815</v>
      </c>
      <c r="C469" t="s">
        <v>4824</v>
      </c>
      <c r="D469" t="s">
        <v>4825</v>
      </c>
    </row>
    <row r="470" spans="1:4" ht="11.25" customHeight="1">
      <c r="A470">
        <v>470</v>
      </c>
      <c r="B470" t="s">
        <v>4815</v>
      </c>
      <c r="C470" t="s">
        <v>4826</v>
      </c>
      <c r="D470" t="s">
        <v>4827</v>
      </c>
    </row>
    <row r="471" spans="1:4" ht="11.25" customHeight="1">
      <c r="A471">
        <v>471</v>
      </c>
      <c r="B471" t="s">
        <v>4815</v>
      </c>
      <c r="C471" t="s">
        <v>4828</v>
      </c>
      <c r="D471" t="s">
        <v>4829</v>
      </c>
    </row>
    <row r="472" spans="1:4" ht="11.25" customHeight="1">
      <c r="A472">
        <v>472</v>
      </c>
      <c r="B472" t="s">
        <v>4815</v>
      </c>
      <c r="C472" t="s">
        <v>4830</v>
      </c>
      <c r="D472" t="s">
        <v>4831</v>
      </c>
    </row>
    <row r="473" spans="1:4" ht="11.25" customHeight="1">
      <c r="A473">
        <v>473</v>
      </c>
      <c r="B473" t="s">
        <v>4815</v>
      </c>
      <c r="C473" t="s">
        <v>4832</v>
      </c>
      <c r="D473" t="s">
        <v>4833</v>
      </c>
    </row>
    <row r="474" spans="1:4" ht="11.25" customHeight="1">
      <c r="A474">
        <v>474</v>
      </c>
      <c r="B474" t="s">
        <v>4815</v>
      </c>
      <c r="C474" t="s">
        <v>4834</v>
      </c>
      <c r="D474" t="s">
        <v>4835</v>
      </c>
    </row>
    <row r="475" spans="1:4" ht="11.25" customHeight="1">
      <c r="A475">
        <v>475</v>
      </c>
      <c r="B475" t="s">
        <v>4815</v>
      </c>
      <c r="C475" t="s">
        <v>4836</v>
      </c>
      <c r="D475" t="s">
        <v>4837</v>
      </c>
    </row>
    <row r="476" spans="1:4" ht="11.25" customHeight="1">
      <c r="A476">
        <v>476</v>
      </c>
      <c r="B476" t="s">
        <v>4815</v>
      </c>
      <c r="C476" t="s">
        <v>4838</v>
      </c>
      <c r="D476" t="s">
        <v>4839</v>
      </c>
    </row>
    <row r="477" spans="1:4" ht="11.25" customHeight="1">
      <c r="A477">
        <v>477</v>
      </c>
      <c r="B477" t="s">
        <v>4815</v>
      </c>
      <c r="C477" t="s">
        <v>4574</v>
      </c>
      <c r="D477" t="s">
        <v>4840</v>
      </c>
    </row>
    <row r="478" spans="1:4" ht="11.25" customHeight="1">
      <c r="A478">
        <v>478</v>
      </c>
      <c r="B478" t="s">
        <v>4815</v>
      </c>
      <c r="C478" t="s">
        <v>4815</v>
      </c>
      <c r="D478" t="s">
        <v>4841</v>
      </c>
    </row>
    <row r="479" spans="1:4" ht="11.25" customHeight="1">
      <c r="A479">
        <v>479</v>
      </c>
      <c r="B479" t="s">
        <v>4815</v>
      </c>
      <c r="C479" t="s">
        <v>4842</v>
      </c>
      <c r="D479" t="s">
        <v>4843</v>
      </c>
    </row>
    <row r="480" spans="1:4" ht="11.25" customHeight="1">
      <c r="A480">
        <v>480</v>
      </c>
      <c r="B480" t="s">
        <v>4815</v>
      </c>
      <c r="C480" t="s">
        <v>4528</v>
      </c>
      <c r="D480" t="s">
        <v>4844</v>
      </c>
    </row>
    <row r="481" spans="1:4" ht="11.25" customHeight="1">
      <c r="A481">
        <v>481</v>
      </c>
      <c r="B481" t="s">
        <v>4815</v>
      </c>
      <c r="C481" t="s">
        <v>4845</v>
      </c>
      <c r="D481" t="s">
        <v>4846</v>
      </c>
    </row>
    <row r="482" spans="1:4" ht="11.25" customHeight="1">
      <c r="A482">
        <v>482</v>
      </c>
      <c r="B482" t="s">
        <v>4815</v>
      </c>
      <c r="C482" t="s">
        <v>4847</v>
      </c>
      <c r="D482" t="s">
        <v>4848</v>
      </c>
    </row>
    <row r="483" spans="1:4" ht="11.25" customHeight="1">
      <c r="A483">
        <v>483</v>
      </c>
      <c r="B483" t="s">
        <v>4849</v>
      </c>
      <c r="C483" t="s">
        <v>4850</v>
      </c>
      <c r="D483" t="s">
        <v>4851</v>
      </c>
    </row>
    <row r="484" spans="1:4" ht="11.25" customHeight="1">
      <c r="A484">
        <v>484</v>
      </c>
      <c r="B484" t="s">
        <v>4849</v>
      </c>
      <c r="C484" t="s">
        <v>4852</v>
      </c>
      <c r="D484" t="s">
        <v>4853</v>
      </c>
    </row>
    <row r="485" spans="1:4" ht="11.25" customHeight="1">
      <c r="A485">
        <v>485</v>
      </c>
      <c r="B485" t="s">
        <v>4849</v>
      </c>
      <c r="C485" t="s">
        <v>3946</v>
      </c>
      <c r="D485" t="s">
        <v>4854</v>
      </c>
    </row>
    <row r="486" spans="1:4" ht="11.25" customHeight="1">
      <c r="A486">
        <v>486</v>
      </c>
      <c r="B486" t="s">
        <v>4849</v>
      </c>
      <c r="C486" t="s">
        <v>4855</v>
      </c>
      <c r="D486" t="s">
        <v>4856</v>
      </c>
    </row>
    <row r="487" spans="1:4" ht="11.25" customHeight="1">
      <c r="A487">
        <v>487</v>
      </c>
      <c r="B487" t="s">
        <v>4849</v>
      </c>
      <c r="C487" t="s">
        <v>4857</v>
      </c>
      <c r="D487" t="s">
        <v>4858</v>
      </c>
    </row>
    <row r="488" spans="1:4" ht="11.25" customHeight="1">
      <c r="A488">
        <v>488</v>
      </c>
      <c r="B488" t="s">
        <v>4849</v>
      </c>
      <c r="C488" t="s">
        <v>4849</v>
      </c>
      <c r="D488" t="s">
        <v>4859</v>
      </c>
    </row>
    <row r="489" spans="1:4" ht="11.25" customHeight="1">
      <c r="A489">
        <v>489</v>
      </c>
      <c r="B489" t="s">
        <v>4849</v>
      </c>
      <c r="C489" t="s">
        <v>4860</v>
      </c>
      <c r="D489" t="s">
        <v>4861</v>
      </c>
    </row>
    <row r="490" spans="1:4" ht="11.25" customHeight="1">
      <c r="A490">
        <v>490</v>
      </c>
      <c r="B490" t="s">
        <v>4849</v>
      </c>
      <c r="C490" t="s">
        <v>4121</v>
      </c>
      <c r="D490" t="s">
        <v>4862</v>
      </c>
    </row>
    <row r="491" spans="1:4" ht="11.25" customHeight="1">
      <c r="A491">
        <v>491</v>
      </c>
      <c r="B491" t="s">
        <v>4849</v>
      </c>
      <c r="C491" t="s">
        <v>4863</v>
      </c>
      <c r="D491" t="s">
        <v>4864</v>
      </c>
    </row>
    <row r="492" spans="1:4" ht="11.25" customHeight="1">
      <c r="A492">
        <v>492</v>
      </c>
      <c r="B492" t="s">
        <v>4849</v>
      </c>
      <c r="C492" t="s">
        <v>4865</v>
      </c>
      <c r="D492" t="s">
        <v>4866</v>
      </c>
    </row>
    <row r="493" spans="1:4" ht="11.25" customHeight="1">
      <c r="A493">
        <v>493</v>
      </c>
      <c r="B493" t="s">
        <v>4867</v>
      </c>
      <c r="C493" t="s">
        <v>4868</v>
      </c>
      <c r="D493" t="s">
        <v>4869</v>
      </c>
    </row>
    <row r="494" spans="1:4" ht="11.25" customHeight="1">
      <c r="A494">
        <v>494</v>
      </c>
      <c r="B494" t="s">
        <v>4867</v>
      </c>
      <c r="C494" t="s">
        <v>4870</v>
      </c>
      <c r="D494" t="s">
        <v>4871</v>
      </c>
    </row>
    <row r="495" spans="1:4" ht="11.25" customHeight="1">
      <c r="A495">
        <v>495</v>
      </c>
      <c r="B495" t="s">
        <v>4867</v>
      </c>
      <c r="C495" t="s">
        <v>4728</v>
      </c>
      <c r="D495" t="s">
        <v>4872</v>
      </c>
    </row>
    <row r="496" spans="1:4" ht="11.25" customHeight="1">
      <c r="A496">
        <v>496</v>
      </c>
      <c r="B496" t="s">
        <v>4867</v>
      </c>
      <c r="C496" t="s">
        <v>4873</v>
      </c>
      <c r="D496" t="s">
        <v>4874</v>
      </c>
    </row>
    <row r="497" spans="1:4" ht="11.25" customHeight="1">
      <c r="A497">
        <v>497</v>
      </c>
      <c r="B497" t="s">
        <v>4867</v>
      </c>
      <c r="C497" t="s">
        <v>4875</v>
      </c>
      <c r="D497" t="s">
        <v>4876</v>
      </c>
    </row>
    <row r="498" spans="1:4" ht="11.25" customHeight="1">
      <c r="A498">
        <v>498</v>
      </c>
      <c r="B498" t="s">
        <v>4867</v>
      </c>
      <c r="C498" t="s">
        <v>4877</v>
      </c>
      <c r="D498" t="s">
        <v>4878</v>
      </c>
    </row>
    <row r="499" spans="1:4" ht="11.25" customHeight="1">
      <c r="A499">
        <v>499</v>
      </c>
      <c r="B499" t="s">
        <v>4867</v>
      </c>
      <c r="C499" t="s">
        <v>4879</v>
      </c>
      <c r="D499" t="s">
        <v>4880</v>
      </c>
    </row>
    <row r="500" spans="1:4" ht="11.25" customHeight="1">
      <c r="A500">
        <v>500</v>
      </c>
      <c r="B500" t="s">
        <v>4867</v>
      </c>
      <c r="C500" t="s">
        <v>4867</v>
      </c>
      <c r="D500" t="s">
        <v>4881</v>
      </c>
    </row>
    <row r="501" spans="1:4" ht="11.25" customHeight="1">
      <c r="A501">
        <v>501</v>
      </c>
      <c r="B501" t="s">
        <v>4867</v>
      </c>
      <c r="C501" t="s">
        <v>4882</v>
      </c>
      <c r="D501" t="s">
        <v>4883</v>
      </c>
    </row>
    <row r="502" spans="1:4" ht="11.25" customHeight="1">
      <c r="A502">
        <v>502</v>
      </c>
      <c r="B502" t="s">
        <v>4867</v>
      </c>
      <c r="C502" t="s">
        <v>4884</v>
      </c>
      <c r="D502" t="s">
        <v>4885</v>
      </c>
    </row>
    <row r="503" spans="1:4" ht="11.25" customHeight="1">
      <c r="A503">
        <v>503</v>
      </c>
      <c r="B503" t="s">
        <v>4867</v>
      </c>
      <c r="C503" t="s">
        <v>4886</v>
      </c>
      <c r="D503" t="s">
        <v>4887</v>
      </c>
    </row>
    <row r="504" spans="1:4" ht="11.25" customHeight="1">
      <c r="A504">
        <v>504</v>
      </c>
      <c r="B504" t="s">
        <v>4867</v>
      </c>
      <c r="C504" t="s">
        <v>4888</v>
      </c>
      <c r="D504" t="s">
        <v>4889</v>
      </c>
    </row>
    <row r="505" spans="1:4" ht="11.25" customHeight="1">
      <c r="A505">
        <v>505</v>
      </c>
      <c r="B505" t="s">
        <v>4867</v>
      </c>
      <c r="C505" t="s">
        <v>4890</v>
      </c>
      <c r="D505" t="s">
        <v>4891</v>
      </c>
    </row>
    <row r="506" spans="1:4" ht="11.25" customHeight="1">
      <c r="A506">
        <v>506</v>
      </c>
      <c r="B506" t="s">
        <v>4892</v>
      </c>
      <c r="C506" t="s">
        <v>4102</v>
      </c>
      <c r="D506" t="s">
        <v>4893</v>
      </c>
    </row>
    <row r="507" spans="1:4" ht="11.25" customHeight="1">
      <c r="A507">
        <v>507</v>
      </c>
      <c r="B507" t="s">
        <v>4892</v>
      </c>
      <c r="C507" t="s">
        <v>4399</v>
      </c>
      <c r="D507" t="s">
        <v>4894</v>
      </c>
    </row>
    <row r="508" spans="1:4" ht="11.25" customHeight="1">
      <c r="A508">
        <v>508</v>
      </c>
      <c r="B508" t="s">
        <v>4892</v>
      </c>
      <c r="C508" t="s">
        <v>4895</v>
      </c>
      <c r="D508" t="s">
        <v>4896</v>
      </c>
    </row>
    <row r="509" spans="1:4" ht="11.25" customHeight="1">
      <c r="A509">
        <v>509</v>
      </c>
      <c r="B509" t="s">
        <v>4892</v>
      </c>
      <c r="C509" t="s">
        <v>4897</v>
      </c>
      <c r="D509" t="s">
        <v>4898</v>
      </c>
    </row>
    <row r="510" spans="1:4" ht="11.25" customHeight="1">
      <c r="A510">
        <v>510</v>
      </c>
      <c r="B510" t="s">
        <v>4892</v>
      </c>
      <c r="C510" t="s">
        <v>4892</v>
      </c>
      <c r="D510" t="s">
        <v>4899</v>
      </c>
    </row>
    <row r="511" spans="1:4" ht="11.25" customHeight="1">
      <c r="A511">
        <v>511</v>
      </c>
      <c r="B511" t="s">
        <v>4892</v>
      </c>
      <c r="C511" t="s">
        <v>4900</v>
      </c>
      <c r="D511" t="s">
        <v>4901</v>
      </c>
    </row>
    <row r="512" spans="1:4" ht="11.25" customHeight="1">
      <c r="A512">
        <v>512</v>
      </c>
      <c r="B512" t="s">
        <v>4892</v>
      </c>
      <c r="C512" t="s">
        <v>4902</v>
      </c>
      <c r="D512" t="s">
        <v>4903</v>
      </c>
    </row>
    <row r="513" spans="1:4" ht="11.25" customHeight="1">
      <c r="A513">
        <v>513</v>
      </c>
      <c r="B513" t="s">
        <v>4892</v>
      </c>
      <c r="C513" t="s">
        <v>4904</v>
      </c>
      <c r="D513" t="s">
        <v>4905</v>
      </c>
    </row>
    <row r="514" spans="1:4" ht="11.25" customHeight="1">
      <c r="A514">
        <v>514</v>
      </c>
      <c r="B514" t="s">
        <v>4892</v>
      </c>
      <c r="C514" t="s">
        <v>4193</v>
      </c>
      <c r="D514" t="s">
        <v>4906</v>
      </c>
    </row>
    <row r="515" spans="1:4" ht="11.25" customHeight="1">
      <c r="A515">
        <v>515</v>
      </c>
      <c r="B515" t="s">
        <v>4907</v>
      </c>
      <c r="C515" t="s">
        <v>4908</v>
      </c>
      <c r="D515" t="s">
        <v>4909</v>
      </c>
    </row>
    <row r="516" spans="1:4" ht="11.25" customHeight="1">
      <c r="A516">
        <v>516</v>
      </c>
      <c r="B516" t="s">
        <v>4907</v>
      </c>
      <c r="C516" t="s">
        <v>3978</v>
      </c>
      <c r="D516" t="s">
        <v>4910</v>
      </c>
    </row>
    <row r="517" spans="1:4" ht="11.25" customHeight="1">
      <c r="A517">
        <v>517</v>
      </c>
      <c r="B517" t="s">
        <v>4907</v>
      </c>
      <c r="C517" t="s">
        <v>4911</v>
      </c>
      <c r="D517" t="s">
        <v>4912</v>
      </c>
    </row>
    <row r="518" spans="1:4" ht="11.25" customHeight="1">
      <c r="A518">
        <v>518</v>
      </c>
      <c r="B518" t="s">
        <v>4907</v>
      </c>
      <c r="C518" t="s">
        <v>4913</v>
      </c>
      <c r="D518" t="s">
        <v>4914</v>
      </c>
    </row>
    <row r="519" spans="1:4" ht="11.25" customHeight="1">
      <c r="A519">
        <v>519</v>
      </c>
      <c r="B519" t="s">
        <v>4907</v>
      </c>
      <c r="C519" t="s">
        <v>4907</v>
      </c>
      <c r="D519" t="s">
        <v>4915</v>
      </c>
    </row>
    <row r="520" spans="1:4" ht="11.25" customHeight="1">
      <c r="A520">
        <v>520</v>
      </c>
      <c r="B520" t="s">
        <v>4907</v>
      </c>
      <c r="C520" t="s">
        <v>4916</v>
      </c>
      <c r="D520" t="s">
        <v>4917</v>
      </c>
    </row>
    <row r="521" spans="1:4" ht="11.25" customHeight="1">
      <c r="A521">
        <v>521</v>
      </c>
      <c r="B521" t="s">
        <v>4907</v>
      </c>
      <c r="C521" t="s">
        <v>4918</v>
      </c>
      <c r="D521" t="s">
        <v>4919</v>
      </c>
    </row>
    <row r="522" spans="1:4" ht="11.25" customHeight="1">
      <c r="A522">
        <v>522</v>
      </c>
      <c r="B522" t="s">
        <v>4920</v>
      </c>
      <c r="C522" t="s">
        <v>4501</v>
      </c>
      <c r="D522" t="s">
        <v>4921</v>
      </c>
    </row>
    <row r="523" spans="1:4" ht="11.25" customHeight="1">
      <c r="A523">
        <v>523</v>
      </c>
      <c r="B523" t="s">
        <v>4920</v>
      </c>
      <c r="C523" t="s">
        <v>4922</v>
      </c>
      <c r="D523" t="s">
        <v>4923</v>
      </c>
    </row>
    <row r="524" spans="1:4" ht="11.25" customHeight="1">
      <c r="A524">
        <v>524</v>
      </c>
      <c r="B524" t="s">
        <v>4920</v>
      </c>
      <c r="C524" t="s">
        <v>4924</v>
      </c>
      <c r="D524" t="s">
        <v>4925</v>
      </c>
    </row>
    <row r="525" spans="1:4" ht="11.25" customHeight="1">
      <c r="A525">
        <v>525</v>
      </c>
      <c r="B525" t="s">
        <v>4920</v>
      </c>
      <c r="C525" t="s">
        <v>4926</v>
      </c>
      <c r="D525" t="s">
        <v>4927</v>
      </c>
    </row>
    <row r="526" spans="1:4" ht="11.25" customHeight="1">
      <c r="A526">
        <v>526</v>
      </c>
      <c r="B526" t="s">
        <v>4920</v>
      </c>
      <c r="C526" t="s">
        <v>4920</v>
      </c>
      <c r="D526" t="s">
        <v>4928</v>
      </c>
    </row>
    <row r="527" spans="1:4" ht="11.25" customHeight="1">
      <c r="A527">
        <v>527</v>
      </c>
      <c r="B527" t="s">
        <v>4929</v>
      </c>
      <c r="C527" t="s">
        <v>3970</v>
      </c>
      <c r="D527" t="s">
        <v>4930</v>
      </c>
    </row>
    <row r="528" spans="1:4" ht="11.25" customHeight="1">
      <c r="A528">
        <v>528</v>
      </c>
      <c r="B528" t="s">
        <v>4929</v>
      </c>
      <c r="C528" t="s">
        <v>4931</v>
      </c>
      <c r="D528" t="s">
        <v>4932</v>
      </c>
    </row>
    <row r="529" spans="1:4" ht="11.25" customHeight="1">
      <c r="A529">
        <v>529</v>
      </c>
      <c r="B529" t="s">
        <v>4929</v>
      </c>
      <c r="C529" t="s">
        <v>4933</v>
      </c>
      <c r="D529" t="s">
        <v>4934</v>
      </c>
    </row>
    <row r="530" spans="1:4" ht="11.25" customHeight="1">
      <c r="A530">
        <v>530</v>
      </c>
      <c r="B530" t="s">
        <v>4929</v>
      </c>
      <c r="C530" t="s">
        <v>4935</v>
      </c>
      <c r="D530" t="s">
        <v>4936</v>
      </c>
    </row>
    <row r="531" spans="1:4" ht="11.25" customHeight="1">
      <c r="A531">
        <v>531</v>
      </c>
      <c r="B531" t="s">
        <v>4929</v>
      </c>
      <c r="C531" t="s">
        <v>4929</v>
      </c>
      <c r="D531" t="s">
        <v>4937</v>
      </c>
    </row>
    <row r="532" spans="1:4" ht="11.25" customHeight="1">
      <c r="A532">
        <v>532</v>
      </c>
      <c r="B532" t="s">
        <v>4929</v>
      </c>
      <c r="C532" t="s">
        <v>4938</v>
      </c>
      <c r="D532" t="s">
        <v>4939</v>
      </c>
    </row>
    <row r="533" spans="1:4" ht="11.25" customHeight="1">
      <c r="A533">
        <v>533</v>
      </c>
      <c r="B533" t="s">
        <v>4940</v>
      </c>
      <c r="C533" t="s">
        <v>4941</v>
      </c>
      <c r="D533" t="s">
        <v>4942</v>
      </c>
    </row>
    <row r="534" spans="1:4" ht="11.25" customHeight="1">
      <c r="A534">
        <v>534</v>
      </c>
      <c r="B534" t="s">
        <v>4940</v>
      </c>
      <c r="C534" t="s">
        <v>4943</v>
      </c>
      <c r="D534" t="s">
        <v>4944</v>
      </c>
    </row>
    <row r="535" spans="1:4" ht="11.25" customHeight="1">
      <c r="A535">
        <v>535</v>
      </c>
      <c r="B535" t="s">
        <v>4940</v>
      </c>
      <c r="C535" t="s">
        <v>4463</v>
      </c>
      <c r="D535" t="s">
        <v>4945</v>
      </c>
    </row>
    <row r="536" spans="1:4" ht="11.25" customHeight="1">
      <c r="A536">
        <v>536</v>
      </c>
      <c r="B536" t="s">
        <v>4940</v>
      </c>
      <c r="C536" t="s">
        <v>4946</v>
      </c>
      <c r="D536" t="s">
        <v>4947</v>
      </c>
    </row>
    <row r="537" spans="1:4" ht="11.25" customHeight="1">
      <c r="A537">
        <v>537</v>
      </c>
      <c r="B537" t="s">
        <v>4940</v>
      </c>
      <c r="C537" t="s">
        <v>4948</v>
      </c>
      <c r="D537" t="s">
        <v>4949</v>
      </c>
    </row>
    <row r="538" spans="1:4" ht="11.25" customHeight="1">
      <c r="A538">
        <v>538</v>
      </c>
      <c r="B538" t="s">
        <v>4940</v>
      </c>
      <c r="C538" t="s">
        <v>4950</v>
      </c>
      <c r="D538" t="s">
        <v>4951</v>
      </c>
    </row>
    <row r="539" spans="1:4" ht="11.25" customHeight="1">
      <c r="A539">
        <v>539</v>
      </c>
      <c r="B539" t="s">
        <v>4940</v>
      </c>
      <c r="C539" t="s">
        <v>4269</v>
      </c>
      <c r="D539" t="s">
        <v>4952</v>
      </c>
    </row>
    <row r="540" spans="1:4" ht="11.25" customHeight="1">
      <c r="A540">
        <v>540</v>
      </c>
      <c r="B540" t="s">
        <v>4940</v>
      </c>
      <c r="C540" t="s">
        <v>4953</v>
      </c>
      <c r="D540" t="s">
        <v>4954</v>
      </c>
    </row>
    <row r="541" spans="1:4" ht="11.25" customHeight="1">
      <c r="A541">
        <v>541</v>
      </c>
      <c r="B541" t="s">
        <v>4940</v>
      </c>
      <c r="C541" t="s">
        <v>4955</v>
      </c>
      <c r="D541" t="s">
        <v>4956</v>
      </c>
    </row>
    <row r="542" spans="1:4" ht="11.25" customHeight="1">
      <c r="A542">
        <v>542</v>
      </c>
      <c r="B542" t="s">
        <v>4940</v>
      </c>
      <c r="C542" t="s">
        <v>4957</v>
      </c>
      <c r="D542" t="s">
        <v>4958</v>
      </c>
    </row>
    <row r="543" spans="1:4" ht="11.25" customHeight="1">
      <c r="A543">
        <v>543</v>
      </c>
      <c r="B543" t="s">
        <v>4940</v>
      </c>
      <c r="C543" t="s">
        <v>4959</v>
      </c>
      <c r="D543" t="s">
        <v>4960</v>
      </c>
    </row>
    <row r="544" spans="1:4" ht="11.25" customHeight="1">
      <c r="A544">
        <v>544</v>
      </c>
      <c r="B544" t="s">
        <v>4940</v>
      </c>
      <c r="C544" t="s">
        <v>4961</v>
      </c>
      <c r="D544" t="s">
        <v>4962</v>
      </c>
    </row>
    <row r="545" spans="1:4" ht="11.25" customHeight="1">
      <c r="A545">
        <v>545</v>
      </c>
      <c r="B545" t="s">
        <v>4940</v>
      </c>
      <c r="C545" t="s">
        <v>4963</v>
      </c>
      <c r="D545" t="s">
        <v>4964</v>
      </c>
    </row>
    <row r="546" spans="1:4" ht="11.25" customHeight="1">
      <c r="A546">
        <v>546</v>
      </c>
      <c r="B546" t="s">
        <v>4940</v>
      </c>
      <c r="C546" t="s">
        <v>4965</v>
      </c>
      <c r="D546" t="s">
        <v>4966</v>
      </c>
    </row>
    <row r="547" spans="1:4" ht="11.25" customHeight="1">
      <c r="A547">
        <v>547</v>
      </c>
      <c r="B547" t="s">
        <v>4940</v>
      </c>
      <c r="C547" t="s">
        <v>4967</v>
      </c>
      <c r="D547" t="s">
        <v>4968</v>
      </c>
    </row>
    <row r="548" spans="1:4" ht="11.25" customHeight="1">
      <c r="A548">
        <v>548</v>
      </c>
      <c r="B548" t="s">
        <v>4940</v>
      </c>
      <c r="C548" t="s">
        <v>4940</v>
      </c>
      <c r="D548" t="s">
        <v>4969</v>
      </c>
    </row>
    <row r="549" spans="1:4" ht="11.25" customHeight="1">
      <c r="A549">
        <v>549</v>
      </c>
      <c r="B549" t="s">
        <v>4940</v>
      </c>
      <c r="C549" t="s">
        <v>4970</v>
      </c>
      <c r="D549" t="s">
        <v>4971</v>
      </c>
    </row>
    <row r="550" spans="1:4" ht="11.25" customHeight="1">
      <c r="A550">
        <v>550</v>
      </c>
      <c r="B550" t="s">
        <v>4940</v>
      </c>
      <c r="C550" t="s">
        <v>4972</v>
      </c>
      <c r="D550" t="s">
        <v>4973</v>
      </c>
    </row>
    <row r="551" spans="1:4" ht="11.25" customHeight="1">
      <c r="A551">
        <v>551</v>
      </c>
      <c r="B551" t="s">
        <v>4940</v>
      </c>
      <c r="C551" t="s">
        <v>4974</v>
      </c>
      <c r="D551" t="s">
        <v>4975</v>
      </c>
    </row>
    <row r="552" spans="1:4" ht="11.25" customHeight="1">
      <c r="A552">
        <v>552</v>
      </c>
      <c r="B552" t="s">
        <v>4976</v>
      </c>
      <c r="C552" t="s">
        <v>4977</v>
      </c>
      <c r="D552" t="s">
        <v>4978</v>
      </c>
    </row>
    <row r="553" spans="1:4" ht="11.25" customHeight="1">
      <c r="A553">
        <v>553</v>
      </c>
      <c r="B553" t="s">
        <v>4976</v>
      </c>
      <c r="C553" t="s">
        <v>4979</v>
      </c>
      <c r="D553" t="s">
        <v>4980</v>
      </c>
    </row>
    <row r="554" spans="1:4" ht="11.25" customHeight="1">
      <c r="A554">
        <v>554</v>
      </c>
      <c r="B554" t="s">
        <v>4976</v>
      </c>
      <c r="C554" t="s">
        <v>4981</v>
      </c>
      <c r="D554" t="s">
        <v>4982</v>
      </c>
    </row>
    <row r="555" spans="1:4" ht="11.25" customHeight="1">
      <c r="A555">
        <v>555</v>
      </c>
      <c r="B555" t="s">
        <v>4976</v>
      </c>
      <c r="C555" t="s">
        <v>4976</v>
      </c>
      <c r="D555" t="s">
        <v>4983</v>
      </c>
    </row>
    <row r="556" spans="1:4" ht="11.25" customHeight="1">
      <c r="A556">
        <v>556</v>
      </c>
      <c r="B556" t="s">
        <v>4976</v>
      </c>
      <c r="C556" t="s">
        <v>4984</v>
      </c>
      <c r="D556" t="s">
        <v>4985</v>
      </c>
    </row>
    <row r="557" spans="1:4" ht="11.25" customHeight="1">
      <c r="A557">
        <v>557</v>
      </c>
      <c r="B557" t="s">
        <v>4976</v>
      </c>
      <c r="C557" t="s">
        <v>4986</v>
      </c>
      <c r="D557" t="s">
        <v>4987</v>
      </c>
    </row>
    <row r="558" spans="1:4" ht="11.25" customHeight="1">
      <c r="A558">
        <v>558</v>
      </c>
      <c r="B558" t="s">
        <v>4988</v>
      </c>
      <c r="C558" t="s">
        <v>4989</v>
      </c>
      <c r="D558" t="s">
        <v>4990</v>
      </c>
    </row>
    <row r="559" spans="1:4" ht="11.25" customHeight="1">
      <c r="A559">
        <v>559</v>
      </c>
      <c r="B559" t="s">
        <v>4988</v>
      </c>
      <c r="C559" t="s">
        <v>4991</v>
      </c>
      <c r="D559" t="s">
        <v>4992</v>
      </c>
    </row>
    <row r="560" spans="1:4" ht="11.25" customHeight="1">
      <c r="A560">
        <v>560</v>
      </c>
      <c r="B560" t="s">
        <v>4988</v>
      </c>
      <c r="C560" t="s">
        <v>4747</v>
      </c>
      <c r="D560" t="s">
        <v>4993</v>
      </c>
    </row>
    <row r="561" spans="1:4" ht="11.25" customHeight="1">
      <c r="A561">
        <v>561</v>
      </c>
      <c r="B561" t="s">
        <v>4988</v>
      </c>
      <c r="C561" t="s">
        <v>3946</v>
      </c>
      <c r="D561" t="s">
        <v>4994</v>
      </c>
    </row>
    <row r="562" spans="1:4" ht="11.25" customHeight="1">
      <c r="A562">
        <v>562</v>
      </c>
      <c r="B562" t="s">
        <v>4988</v>
      </c>
      <c r="C562" t="s">
        <v>4342</v>
      </c>
      <c r="D562" t="s">
        <v>4995</v>
      </c>
    </row>
    <row r="563" spans="1:4" ht="11.25" customHeight="1">
      <c r="A563">
        <v>563</v>
      </c>
      <c r="B563" t="s">
        <v>4988</v>
      </c>
      <c r="C563" t="s">
        <v>4728</v>
      </c>
      <c r="D563" t="s">
        <v>4996</v>
      </c>
    </row>
    <row r="564" spans="1:4" ht="11.25" customHeight="1">
      <c r="A564">
        <v>564</v>
      </c>
      <c r="B564" t="s">
        <v>4988</v>
      </c>
      <c r="C564" t="s">
        <v>3978</v>
      </c>
      <c r="D564" t="s">
        <v>4997</v>
      </c>
    </row>
    <row r="565" spans="1:4" ht="11.25" customHeight="1">
      <c r="A565">
        <v>565</v>
      </c>
      <c r="B565" t="s">
        <v>4988</v>
      </c>
      <c r="C565" t="s">
        <v>4998</v>
      </c>
      <c r="D565" t="s">
        <v>4999</v>
      </c>
    </row>
    <row r="566" spans="1:4" ht="11.25" customHeight="1">
      <c r="A566">
        <v>566</v>
      </c>
      <c r="B566" t="s">
        <v>4988</v>
      </c>
      <c r="C566" t="s">
        <v>5000</v>
      </c>
      <c r="D566" t="s">
        <v>5001</v>
      </c>
    </row>
    <row r="567" spans="1:4" ht="11.25" customHeight="1">
      <c r="A567">
        <v>567</v>
      </c>
      <c r="B567" t="s">
        <v>4988</v>
      </c>
      <c r="C567" t="s">
        <v>5002</v>
      </c>
      <c r="D567" t="s">
        <v>5003</v>
      </c>
    </row>
    <row r="568" spans="1:4" ht="11.25" customHeight="1">
      <c r="A568">
        <v>568</v>
      </c>
      <c r="B568" t="s">
        <v>4988</v>
      </c>
      <c r="C568" t="s">
        <v>4350</v>
      </c>
      <c r="D568" t="s">
        <v>5004</v>
      </c>
    </row>
    <row r="569" spans="1:4" ht="11.25" customHeight="1">
      <c r="A569">
        <v>569</v>
      </c>
      <c r="B569" t="s">
        <v>4988</v>
      </c>
      <c r="C569" t="s">
        <v>4811</v>
      </c>
      <c r="D569" t="s">
        <v>5005</v>
      </c>
    </row>
    <row r="570" spans="1:4" ht="11.25" customHeight="1">
      <c r="A570">
        <v>570</v>
      </c>
      <c r="B570" t="s">
        <v>4988</v>
      </c>
      <c r="C570" t="s">
        <v>4988</v>
      </c>
      <c r="D570" t="s">
        <v>5006</v>
      </c>
    </row>
    <row r="571" spans="1:4" ht="11.25" customHeight="1">
      <c r="A571">
        <v>571</v>
      </c>
      <c r="B571" t="s">
        <v>4988</v>
      </c>
      <c r="C571" t="s">
        <v>5007</v>
      </c>
      <c r="D571" t="s">
        <v>5008</v>
      </c>
    </row>
    <row r="572" spans="1:4" ht="11.25" customHeight="1">
      <c r="A572">
        <v>572</v>
      </c>
      <c r="B572" t="s">
        <v>4988</v>
      </c>
      <c r="C572" t="s">
        <v>5009</v>
      </c>
      <c r="D572" t="s">
        <v>5010</v>
      </c>
    </row>
    <row r="573" spans="1:4" ht="11.25" customHeight="1">
      <c r="A573">
        <v>573</v>
      </c>
      <c r="B573" t="s">
        <v>4988</v>
      </c>
      <c r="C573" t="s">
        <v>5011</v>
      </c>
      <c r="D573" t="s">
        <v>5012</v>
      </c>
    </row>
    <row r="574" spans="1:4" ht="11.25" customHeight="1">
      <c r="A574">
        <v>574</v>
      </c>
      <c r="B574" t="s">
        <v>4988</v>
      </c>
      <c r="C574" t="s">
        <v>5013</v>
      </c>
      <c r="D574" t="s">
        <v>5014</v>
      </c>
    </row>
    <row r="575" spans="1:4" ht="11.25" customHeight="1">
      <c r="A575">
        <v>575</v>
      </c>
      <c r="B575" t="s">
        <v>4988</v>
      </c>
      <c r="C575" t="s">
        <v>5015</v>
      </c>
      <c r="D575" t="s">
        <v>5016</v>
      </c>
    </row>
    <row r="576" spans="1:4" ht="11.25" customHeight="1">
      <c r="A576">
        <v>576</v>
      </c>
      <c r="B576" t="s">
        <v>5017</v>
      </c>
      <c r="C576" t="s">
        <v>5018</v>
      </c>
      <c r="D576" t="s">
        <v>5019</v>
      </c>
    </row>
    <row r="577" spans="1:4" ht="11.25" customHeight="1">
      <c r="A577">
        <v>577</v>
      </c>
      <c r="B577" t="s">
        <v>5017</v>
      </c>
      <c r="C577" t="s">
        <v>5020</v>
      </c>
      <c r="D577" t="s">
        <v>5021</v>
      </c>
    </row>
    <row r="578" spans="1:4" ht="11.25" customHeight="1">
      <c r="A578">
        <v>578</v>
      </c>
      <c r="B578" t="s">
        <v>5017</v>
      </c>
      <c r="C578" t="s">
        <v>5022</v>
      </c>
      <c r="D578" t="s">
        <v>5023</v>
      </c>
    </row>
    <row r="579" spans="1:4" ht="11.25" customHeight="1">
      <c r="A579">
        <v>579</v>
      </c>
      <c r="B579" t="s">
        <v>5017</v>
      </c>
      <c r="C579" t="s">
        <v>5024</v>
      </c>
      <c r="D579" t="s">
        <v>5025</v>
      </c>
    </row>
    <row r="580" spans="1:4" ht="11.25" customHeight="1">
      <c r="A580">
        <v>580</v>
      </c>
      <c r="B580" t="s">
        <v>5017</v>
      </c>
      <c r="C580" t="s">
        <v>5026</v>
      </c>
      <c r="D580" t="s">
        <v>5027</v>
      </c>
    </row>
    <row r="581" spans="1:4" ht="11.25" customHeight="1">
      <c r="A581">
        <v>581</v>
      </c>
      <c r="B581" t="s">
        <v>5017</v>
      </c>
      <c r="C581" t="s">
        <v>5028</v>
      </c>
      <c r="D581" t="s">
        <v>5029</v>
      </c>
    </row>
    <row r="582" spans="1:4" ht="11.25" customHeight="1">
      <c r="A582">
        <v>582</v>
      </c>
      <c r="B582" t="s">
        <v>5017</v>
      </c>
      <c r="C582" t="s">
        <v>5030</v>
      </c>
      <c r="D582" t="s">
        <v>5031</v>
      </c>
    </row>
    <row r="583" spans="1:4" ht="11.25" customHeight="1">
      <c r="A583">
        <v>583</v>
      </c>
      <c r="B583" t="s">
        <v>5017</v>
      </c>
      <c r="C583" t="s">
        <v>5017</v>
      </c>
      <c r="D583" t="s">
        <v>5032</v>
      </c>
    </row>
    <row r="584" spans="1:4" ht="11.25" customHeight="1">
      <c r="A584">
        <v>584</v>
      </c>
      <c r="B584" t="s">
        <v>5017</v>
      </c>
      <c r="C584" t="s">
        <v>5033</v>
      </c>
      <c r="D584" t="s">
        <v>5034</v>
      </c>
    </row>
    <row r="585" spans="1:4" ht="11.25" customHeight="1">
      <c r="A585">
        <v>585</v>
      </c>
      <c r="B585" t="s">
        <v>5017</v>
      </c>
      <c r="C585" t="s">
        <v>5035</v>
      </c>
      <c r="D585" t="s">
        <v>5036</v>
      </c>
    </row>
    <row r="586" spans="1:4" ht="11.25" customHeight="1">
      <c r="A586">
        <v>586</v>
      </c>
      <c r="B586" t="s">
        <v>5037</v>
      </c>
      <c r="C586" t="s">
        <v>3972</v>
      </c>
      <c r="D586" t="s">
        <v>5038</v>
      </c>
    </row>
    <row r="587" spans="1:4" ht="11.25" customHeight="1">
      <c r="A587">
        <v>587</v>
      </c>
      <c r="B587" t="s">
        <v>5037</v>
      </c>
      <c r="C587" t="s">
        <v>4741</v>
      </c>
      <c r="D587" t="s">
        <v>5039</v>
      </c>
    </row>
    <row r="588" spans="1:4" ht="11.25" customHeight="1">
      <c r="A588">
        <v>588</v>
      </c>
      <c r="B588" t="s">
        <v>5037</v>
      </c>
      <c r="C588" t="s">
        <v>5040</v>
      </c>
      <c r="D588" t="s">
        <v>5041</v>
      </c>
    </row>
    <row r="589" spans="1:4" ht="11.25" customHeight="1">
      <c r="A589">
        <v>589</v>
      </c>
      <c r="B589" t="s">
        <v>5037</v>
      </c>
      <c r="C589" t="s">
        <v>5042</v>
      </c>
      <c r="D589" t="s">
        <v>5043</v>
      </c>
    </row>
    <row r="590" spans="1:4" ht="11.25" customHeight="1">
      <c r="A590">
        <v>590</v>
      </c>
      <c r="B590" t="s">
        <v>5037</v>
      </c>
      <c r="C590" t="s">
        <v>5044</v>
      </c>
      <c r="D590" t="s">
        <v>5045</v>
      </c>
    </row>
    <row r="591" spans="1:4" ht="11.25" customHeight="1">
      <c r="A591">
        <v>591</v>
      </c>
      <c r="B591" t="s">
        <v>5037</v>
      </c>
      <c r="C591" t="s">
        <v>4335</v>
      </c>
      <c r="D591" t="s">
        <v>5046</v>
      </c>
    </row>
    <row r="592" spans="1:4" ht="11.25" customHeight="1">
      <c r="A592">
        <v>592</v>
      </c>
      <c r="B592" t="s">
        <v>5037</v>
      </c>
      <c r="C592" t="s">
        <v>5047</v>
      </c>
      <c r="D592" t="s">
        <v>5048</v>
      </c>
    </row>
    <row r="593" spans="1:4" ht="11.25" customHeight="1">
      <c r="A593">
        <v>593</v>
      </c>
      <c r="B593" t="s">
        <v>5037</v>
      </c>
      <c r="C593" t="s">
        <v>5049</v>
      </c>
      <c r="D593" t="s">
        <v>5050</v>
      </c>
    </row>
    <row r="594" spans="1:4" ht="11.25" customHeight="1">
      <c r="A594">
        <v>594</v>
      </c>
      <c r="B594" t="s">
        <v>5037</v>
      </c>
      <c r="C594" t="s">
        <v>5037</v>
      </c>
      <c r="D594" t="s">
        <v>5051</v>
      </c>
    </row>
    <row r="595" spans="1:4" ht="11.25" customHeight="1">
      <c r="A595">
        <v>595</v>
      </c>
      <c r="B595" t="s">
        <v>5037</v>
      </c>
      <c r="C595" t="s">
        <v>5052</v>
      </c>
      <c r="D595" t="s">
        <v>5053</v>
      </c>
    </row>
    <row r="596" spans="1:4" ht="11.25" customHeight="1">
      <c r="A596">
        <v>596</v>
      </c>
      <c r="B596" t="s">
        <v>5037</v>
      </c>
      <c r="C596" t="s">
        <v>5054</v>
      </c>
      <c r="D596" t="s">
        <v>5055</v>
      </c>
    </row>
    <row r="597" spans="1:4" ht="11.25" customHeight="1">
      <c r="A597">
        <v>597</v>
      </c>
      <c r="B597" t="s">
        <v>5037</v>
      </c>
      <c r="C597" t="s">
        <v>5056</v>
      </c>
      <c r="D597" t="s">
        <v>5057</v>
      </c>
    </row>
    <row r="598" spans="1:4" ht="11.25" customHeight="1">
      <c r="A598">
        <v>598</v>
      </c>
      <c r="B598" t="s">
        <v>5058</v>
      </c>
      <c r="C598" t="s">
        <v>5059</v>
      </c>
      <c r="D598" t="s">
        <v>5060</v>
      </c>
    </row>
    <row r="599" spans="1:4" ht="11.25" customHeight="1">
      <c r="A599">
        <v>599</v>
      </c>
      <c r="B599" t="s">
        <v>5058</v>
      </c>
      <c r="C599" t="s">
        <v>4102</v>
      </c>
      <c r="D599" t="s">
        <v>5061</v>
      </c>
    </row>
    <row r="600" spans="1:4" ht="11.25" customHeight="1">
      <c r="A600">
        <v>600</v>
      </c>
      <c r="B600" t="s">
        <v>5058</v>
      </c>
      <c r="C600" t="s">
        <v>5062</v>
      </c>
      <c r="D600" t="s">
        <v>5063</v>
      </c>
    </row>
    <row r="601" spans="1:4" ht="11.25" customHeight="1">
      <c r="A601">
        <v>601</v>
      </c>
      <c r="B601" t="s">
        <v>5058</v>
      </c>
      <c r="C601" t="s">
        <v>5064</v>
      </c>
      <c r="D601" t="s">
        <v>5065</v>
      </c>
    </row>
    <row r="602" spans="1:4" ht="11.25" customHeight="1">
      <c r="A602">
        <v>602</v>
      </c>
      <c r="B602" t="s">
        <v>5058</v>
      </c>
      <c r="C602" t="s">
        <v>5044</v>
      </c>
      <c r="D602" t="s">
        <v>5066</v>
      </c>
    </row>
    <row r="603" spans="1:4" ht="11.25" customHeight="1">
      <c r="A603">
        <v>603</v>
      </c>
      <c r="B603" t="s">
        <v>5058</v>
      </c>
      <c r="C603" t="s">
        <v>5067</v>
      </c>
      <c r="D603" t="s">
        <v>5068</v>
      </c>
    </row>
    <row r="604" spans="1:4" ht="11.25" customHeight="1">
      <c r="A604">
        <v>604</v>
      </c>
      <c r="B604" t="s">
        <v>5058</v>
      </c>
      <c r="C604" t="s">
        <v>5069</v>
      </c>
      <c r="D604" t="s">
        <v>5070</v>
      </c>
    </row>
    <row r="605" spans="1:4" ht="11.25" customHeight="1">
      <c r="A605">
        <v>605</v>
      </c>
      <c r="B605" t="s">
        <v>5058</v>
      </c>
      <c r="C605" t="s">
        <v>5071</v>
      </c>
      <c r="D605" t="s">
        <v>5072</v>
      </c>
    </row>
    <row r="606" spans="1:4" ht="11.25" customHeight="1">
      <c r="A606">
        <v>606</v>
      </c>
      <c r="B606" t="s">
        <v>5058</v>
      </c>
      <c r="C606" t="s">
        <v>5073</v>
      </c>
      <c r="D606" t="s">
        <v>5074</v>
      </c>
    </row>
    <row r="607" spans="1:4" ht="11.25" customHeight="1">
      <c r="A607">
        <v>607</v>
      </c>
      <c r="B607" t="s">
        <v>5058</v>
      </c>
      <c r="C607" t="s">
        <v>5058</v>
      </c>
      <c r="D607" t="s">
        <v>5075</v>
      </c>
    </row>
    <row r="608" spans="1:4" ht="11.25" customHeight="1">
      <c r="A608">
        <v>608</v>
      </c>
      <c r="B608" t="s">
        <v>5058</v>
      </c>
      <c r="C608" t="s">
        <v>5076</v>
      </c>
      <c r="D608" t="s">
        <v>5077</v>
      </c>
    </row>
    <row r="609" spans="1:4" ht="11.25" customHeight="1">
      <c r="A609">
        <v>609</v>
      </c>
      <c r="B609" t="s">
        <v>5058</v>
      </c>
      <c r="C609" t="s">
        <v>5078</v>
      </c>
      <c r="D609" t="s">
        <v>5079</v>
      </c>
    </row>
    <row r="610" spans="1:4" ht="11.25" customHeight="1">
      <c r="A610">
        <v>610</v>
      </c>
      <c r="B610" t="s">
        <v>5058</v>
      </c>
      <c r="C610" t="s">
        <v>4171</v>
      </c>
      <c r="D610" t="s">
        <v>5080</v>
      </c>
    </row>
    <row r="611" spans="1:4" ht="11.25" customHeight="1">
      <c r="A611">
        <v>611</v>
      </c>
      <c r="B611" t="s">
        <v>5058</v>
      </c>
      <c r="C611" t="s">
        <v>5081</v>
      </c>
      <c r="D611" t="s">
        <v>5082</v>
      </c>
    </row>
    <row r="612" spans="1:4" ht="11.25" customHeight="1">
      <c r="A612">
        <v>612</v>
      </c>
      <c r="B612" t="s">
        <v>5058</v>
      </c>
      <c r="C612" t="s">
        <v>5083</v>
      </c>
      <c r="D612" t="s">
        <v>5084</v>
      </c>
    </row>
    <row r="613" spans="1:4" ht="11.25" customHeight="1">
      <c r="A613">
        <v>613</v>
      </c>
      <c r="B613" t="s">
        <v>5085</v>
      </c>
      <c r="C613" t="s">
        <v>5086</v>
      </c>
      <c r="D613" t="s">
        <v>5087</v>
      </c>
    </row>
    <row r="614" spans="1:4" ht="11.25" customHeight="1">
      <c r="A614">
        <v>614</v>
      </c>
      <c r="B614" t="s">
        <v>5085</v>
      </c>
      <c r="C614" t="s">
        <v>5088</v>
      </c>
      <c r="D614" t="s">
        <v>5089</v>
      </c>
    </row>
    <row r="615" spans="1:4" ht="11.25" customHeight="1">
      <c r="A615">
        <v>615</v>
      </c>
      <c r="B615" t="s">
        <v>5085</v>
      </c>
      <c r="C615" t="s">
        <v>5090</v>
      </c>
      <c r="D615" t="s">
        <v>5091</v>
      </c>
    </row>
    <row r="616" spans="1:4" ht="11.25" customHeight="1">
      <c r="A616">
        <v>616</v>
      </c>
      <c r="B616" t="s">
        <v>5085</v>
      </c>
      <c r="C616" t="s">
        <v>4628</v>
      </c>
      <c r="D616" t="s">
        <v>5092</v>
      </c>
    </row>
    <row r="617" spans="1:4" ht="11.25" customHeight="1">
      <c r="A617">
        <v>617</v>
      </c>
      <c r="B617" t="s">
        <v>5085</v>
      </c>
      <c r="C617" t="s">
        <v>5093</v>
      </c>
      <c r="D617" t="s">
        <v>5094</v>
      </c>
    </row>
    <row r="618" spans="1:4" ht="11.25" customHeight="1">
      <c r="A618">
        <v>618</v>
      </c>
      <c r="B618" t="s">
        <v>5085</v>
      </c>
      <c r="C618" t="s">
        <v>4904</v>
      </c>
      <c r="D618" t="s">
        <v>5095</v>
      </c>
    </row>
    <row r="619" spans="1:4" ht="11.25" customHeight="1">
      <c r="A619">
        <v>619</v>
      </c>
      <c r="B619" t="s">
        <v>5085</v>
      </c>
      <c r="C619" t="s">
        <v>5085</v>
      </c>
      <c r="D619" t="s">
        <v>5096</v>
      </c>
    </row>
    <row r="620" spans="1:4" ht="11.25" customHeight="1">
      <c r="A620">
        <v>620</v>
      </c>
      <c r="B620" t="s">
        <v>5085</v>
      </c>
      <c r="C620" t="s">
        <v>5097</v>
      </c>
      <c r="D620" t="s">
        <v>5098</v>
      </c>
    </row>
    <row r="621" spans="1:4" ht="11.25" customHeight="1">
      <c r="A621">
        <v>621</v>
      </c>
      <c r="B621" t="s">
        <v>5099</v>
      </c>
      <c r="C621" t="s">
        <v>5100</v>
      </c>
      <c r="D621" t="s">
        <v>5101</v>
      </c>
    </row>
    <row r="622" spans="1:4" ht="11.25" customHeight="1">
      <c r="A622">
        <v>622</v>
      </c>
      <c r="B622" t="s">
        <v>5099</v>
      </c>
      <c r="C622" t="s">
        <v>4067</v>
      </c>
      <c r="D622" t="s">
        <v>5102</v>
      </c>
    </row>
    <row r="623" spans="1:4" ht="11.25" customHeight="1">
      <c r="A623">
        <v>623</v>
      </c>
      <c r="B623" t="s">
        <v>5099</v>
      </c>
      <c r="C623" t="s">
        <v>5103</v>
      </c>
      <c r="D623" t="s">
        <v>5104</v>
      </c>
    </row>
    <row r="624" spans="1:4" ht="11.25" customHeight="1">
      <c r="A624">
        <v>624</v>
      </c>
      <c r="B624" t="s">
        <v>5099</v>
      </c>
      <c r="C624" t="s">
        <v>5105</v>
      </c>
      <c r="D624" t="s">
        <v>5106</v>
      </c>
    </row>
    <row r="625" spans="1:4" ht="11.25" customHeight="1">
      <c r="A625">
        <v>625</v>
      </c>
      <c r="B625" t="s">
        <v>5099</v>
      </c>
      <c r="C625" t="s">
        <v>5107</v>
      </c>
      <c r="D625" t="s">
        <v>5108</v>
      </c>
    </row>
    <row r="626" spans="1:4" ht="11.25" customHeight="1">
      <c r="A626">
        <v>626</v>
      </c>
      <c r="B626" t="s">
        <v>5099</v>
      </c>
      <c r="C626" t="s">
        <v>5109</v>
      </c>
      <c r="D626" t="s">
        <v>5110</v>
      </c>
    </row>
    <row r="627" spans="1:4" ht="11.25" customHeight="1">
      <c r="A627">
        <v>627</v>
      </c>
      <c r="B627" t="s">
        <v>5099</v>
      </c>
      <c r="C627" t="s">
        <v>5111</v>
      </c>
      <c r="D627" t="s">
        <v>5112</v>
      </c>
    </row>
    <row r="628" spans="1:4" ht="11.25" customHeight="1">
      <c r="A628">
        <v>628</v>
      </c>
      <c r="B628" t="s">
        <v>5099</v>
      </c>
      <c r="C628" t="s">
        <v>5099</v>
      </c>
      <c r="D628" t="s">
        <v>5113</v>
      </c>
    </row>
    <row r="629" spans="1:4" ht="11.25" customHeight="1">
      <c r="A629">
        <v>629</v>
      </c>
      <c r="B629" t="s">
        <v>5099</v>
      </c>
      <c r="C629" t="s">
        <v>5114</v>
      </c>
      <c r="D629" t="s">
        <v>5115</v>
      </c>
    </row>
    <row r="630" spans="1:4" ht="11.25" customHeight="1">
      <c r="A630">
        <v>630</v>
      </c>
      <c r="B630" t="s">
        <v>5099</v>
      </c>
      <c r="C630" t="s">
        <v>5116</v>
      </c>
      <c r="D630" t="s">
        <v>5117</v>
      </c>
    </row>
    <row r="631" spans="1:4" ht="11.25" customHeight="1">
      <c r="A631">
        <v>631</v>
      </c>
      <c r="B631" t="s">
        <v>5118</v>
      </c>
      <c r="C631" t="s">
        <v>3972</v>
      </c>
      <c r="D631" t="s">
        <v>5119</v>
      </c>
    </row>
    <row r="632" spans="1:4" ht="11.25" customHeight="1">
      <c r="A632">
        <v>632</v>
      </c>
      <c r="B632" t="s">
        <v>5118</v>
      </c>
      <c r="C632" t="s">
        <v>5120</v>
      </c>
      <c r="D632" t="s">
        <v>5121</v>
      </c>
    </row>
    <row r="633" spans="1:4" ht="11.25" customHeight="1">
      <c r="A633">
        <v>633</v>
      </c>
      <c r="B633" t="s">
        <v>5118</v>
      </c>
      <c r="C633" t="s">
        <v>5122</v>
      </c>
      <c r="D633" t="s">
        <v>5123</v>
      </c>
    </row>
    <row r="634" spans="1:4" ht="11.25" customHeight="1">
      <c r="A634">
        <v>634</v>
      </c>
      <c r="B634" t="s">
        <v>5118</v>
      </c>
      <c r="C634" t="s">
        <v>5124</v>
      </c>
      <c r="D634" t="s">
        <v>5125</v>
      </c>
    </row>
    <row r="635" spans="1:4" ht="11.25" customHeight="1">
      <c r="A635">
        <v>635</v>
      </c>
      <c r="B635" t="s">
        <v>5118</v>
      </c>
      <c r="C635" t="s">
        <v>5126</v>
      </c>
      <c r="D635" t="s">
        <v>5127</v>
      </c>
    </row>
    <row r="636" spans="1:4" ht="11.25" customHeight="1">
      <c r="A636">
        <v>636</v>
      </c>
      <c r="B636" t="s">
        <v>5118</v>
      </c>
      <c r="C636" t="s">
        <v>5128</v>
      </c>
      <c r="D636" t="s">
        <v>5129</v>
      </c>
    </row>
    <row r="637" spans="1:4" ht="11.25" customHeight="1">
      <c r="A637">
        <v>637</v>
      </c>
      <c r="B637" t="s">
        <v>5118</v>
      </c>
      <c r="C637" t="s">
        <v>5130</v>
      </c>
      <c r="D637" t="s">
        <v>5131</v>
      </c>
    </row>
    <row r="638" spans="1:4" ht="11.25" customHeight="1">
      <c r="A638">
        <v>638</v>
      </c>
      <c r="B638" t="s">
        <v>5118</v>
      </c>
      <c r="C638" t="s">
        <v>4728</v>
      </c>
      <c r="D638" t="s">
        <v>5132</v>
      </c>
    </row>
    <row r="639" spans="1:4" ht="11.25" customHeight="1">
      <c r="A639">
        <v>639</v>
      </c>
      <c r="B639" t="s">
        <v>5118</v>
      </c>
      <c r="C639" t="s">
        <v>5133</v>
      </c>
      <c r="D639" t="s">
        <v>5134</v>
      </c>
    </row>
    <row r="640" spans="1:4" ht="11.25" customHeight="1">
      <c r="A640">
        <v>640</v>
      </c>
      <c r="B640" t="s">
        <v>5118</v>
      </c>
      <c r="C640" t="s">
        <v>5135</v>
      </c>
      <c r="D640" t="s">
        <v>5136</v>
      </c>
    </row>
    <row r="641" spans="1:4" ht="11.25" customHeight="1">
      <c r="A641">
        <v>641</v>
      </c>
      <c r="B641" t="s">
        <v>5118</v>
      </c>
      <c r="C641" t="s">
        <v>5052</v>
      </c>
      <c r="D641" t="s">
        <v>5137</v>
      </c>
    </row>
    <row r="642" spans="1:4" ht="11.25" customHeight="1">
      <c r="A642">
        <v>642</v>
      </c>
      <c r="B642" t="s">
        <v>5118</v>
      </c>
      <c r="C642" t="s">
        <v>5118</v>
      </c>
      <c r="D642" t="s">
        <v>5138</v>
      </c>
    </row>
    <row r="643" spans="1:4" ht="11.25" customHeight="1">
      <c r="A643">
        <v>643</v>
      </c>
      <c r="B643" t="s">
        <v>5118</v>
      </c>
      <c r="C643" t="s">
        <v>5139</v>
      </c>
      <c r="D643" t="s">
        <v>5140</v>
      </c>
    </row>
    <row r="644" spans="1:4" ht="11.25" customHeight="1">
      <c r="A644">
        <v>644</v>
      </c>
      <c r="B644" t="s">
        <v>5118</v>
      </c>
      <c r="C644" t="s">
        <v>5141</v>
      </c>
      <c r="D644" t="s">
        <v>5142</v>
      </c>
    </row>
    <row r="645" spans="1:4" ht="11.25" customHeight="1">
      <c r="A645">
        <v>645</v>
      </c>
      <c r="B645" t="s">
        <v>5143</v>
      </c>
      <c r="C645" t="s">
        <v>5144</v>
      </c>
      <c r="D645" t="s">
        <v>5145</v>
      </c>
    </row>
    <row r="646" spans="1:4" ht="11.25" customHeight="1">
      <c r="A646">
        <v>646</v>
      </c>
      <c r="B646" t="s">
        <v>5143</v>
      </c>
      <c r="C646" t="s">
        <v>5146</v>
      </c>
      <c r="D646" t="s">
        <v>5147</v>
      </c>
    </row>
    <row r="647" spans="1:4" ht="11.25" customHeight="1">
      <c r="A647">
        <v>647</v>
      </c>
      <c r="B647" t="s">
        <v>5143</v>
      </c>
      <c r="C647" t="s">
        <v>5148</v>
      </c>
      <c r="D647" t="s">
        <v>5149</v>
      </c>
    </row>
    <row r="648" spans="1:4" ht="11.25" customHeight="1">
      <c r="A648">
        <v>648</v>
      </c>
      <c r="B648" t="s">
        <v>5143</v>
      </c>
      <c r="C648" t="s">
        <v>5150</v>
      </c>
      <c r="D648" t="s">
        <v>5151</v>
      </c>
    </row>
    <row r="649" spans="1:4" ht="11.25" customHeight="1">
      <c r="A649">
        <v>649</v>
      </c>
      <c r="B649" t="s">
        <v>5143</v>
      </c>
      <c r="C649" t="s">
        <v>5152</v>
      </c>
      <c r="D649" t="s">
        <v>5153</v>
      </c>
    </row>
    <row r="650" spans="1:4" ht="11.25" customHeight="1">
      <c r="A650">
        <v>650</v>
      </c>
      <c r="B650" t="s">
        <v>5143</v>
      </c>
      <c r="C650" t="s">
        <v>5154</v>
      </c>
      <c r="D650" t="s">
        <v>5155</v>
      </c>
    </row>
    <row r="651" spans="1:4" ht="11.25" customHeight="1">
      <c r="A651">
        <v>651</v>
      </c>
      <c r="B651" t="s">
        <v>5143</v>
      </c>
      <c r="C651" t="s">
        <v>5156</v>
      </c>
      <c r="D651" t="s">
        <v>5157</v>
      </c>
    </row>
    <row r="652" spans="1:4" ht="11.25" customHeight="1">
      <c r="A652">
        <v>652</v>
      </c>
      <c r="B652" t="s">
        <v>5143</v>
      </c>
      <c r="C652" t="s">
        <v>4904</v>
      </c>
      <c r="D652" t="s">
        <v>5158</v>
      </c>
    </row>
    <row r="653" spans="1:4" ht="11.25" customHeight="1">
      <c r="A653">
        <v>653</v>
      </c>
      <c r="B653" t="s">
        <v>5143</v>
      </c>
      <c r="C653" t="s">
        <v>5159</v>
      </c>
      <c r="D653" t="s">
        <v>5160</v>
      </c>
    </row>
    <row r="654" spans="1:4" ht="11.25" customHeight="1">
      <c r="A654">
        <v>654</v>
      </c>
      <c r="B654" t="s">
        <v>5143</v>
      </c>
      <c r="C654" t="s">
        <v>5143</v>
      </c>
      <c r="D654" t="s">
        <v>5161</v>
      </c>
    </row>
    <row r="655" spans="1:4" ht="11.25" customHeight="1">
      <c r="A655">
        <v>655</v>
      </c>
      <c r="B655" t="s">
        <v>5143</v>
      </c>
      <c r="C655" t="s">
        <v>5162</v>
      </c>
      <c r="D655" t="s">
        <v>5163</v>
      </c>
    </row>
    <row r="656" spans="1:4" ht="11.25" customHeight="1">
      <c r="A656">
        <v>656</v>
      </c>
      <c r="B656" t="s">
        <v>5164</v>
      </c>
      <c r="C656" t="s">
        <v>5165</v>
      </c>
      <c r="D656" t="s">
        <v>5166</v>
      </c>
    </row>
    <row r="657" spans="1:4" ht="11.25" customHeight="1">
      <c r="A657">
        <v>657</v>
      </c>
      <c r="B657" t="s">
        <v>5164</v>
      </c>
      <c r="C657" t="s">
        <v>5167</v>
      </c>
      <c r="D657" t="s">
        <v>5168</v>
      </c>
    </row>
    <row r="658" spans="1:4" ht="11.25" customHeight="1">
      <c r="A658">
        <v>658</v>
      </c>
      <c r="B658" t="s">
        <v>5164</v>
      </c>
      <c r="C658" t="s">
        <v>3938</v>
      </c>
      <c r="D658" t="s">
        <v>5169</v>
      </c>
    </row>
    <row r="659" spans="1:4" ht="11.25" customHeight="1">
      <c r="A659">
        <v>659</v>
      </c>
      <c r="B659" t="s">
        <v>5164</v>
      </c>
      <c r="C659" t="s">
        <v>5170</v>
      </c>
      <c r="D659" t="s">
        <v>5171</v>
      </c>
    </row>
    <row r="660" spans="1:4" ht="11.25" customHeight="1">
      <c r="A660">
        <v>660</v>
      </c>
      <c r="B660" t="s">
        <v>5164</v>
      </c>
      <c r="C660" t="s">
        <v>5172</v>
      </c>
      <c r="D660" t="s">
        <v>5173</v>
      </c>
    </row>
    <row r="661" spans="1:4" ht="11.25" customHeight="1">
      <c r="A661">
        <v>661</v>
      </c>
      <c r="B661" t="s">
        <v>5164</v>
      </c>
      <c r="C661" t="s">
        <v>5174</v>
      </c>
      <c r="D661" t="s">
        <v>5175</v>
      </c>
    </row>
    <row r="662" spans="1:4" ht="11.25" customHeight="1">
      <c r="A662">
        <v>662</v>
      </c>
      <c r="B662" t="s">
        <v>5164</v>
      </c>
      <c r="C662" t="s">
        <v>5176</v>
      </c>
      <c r="D662" t="s">
        <v>5177</v>
      </c>
    </row>
    <row r="663" spans="1:4" ht="11.25" customHeight="1">
      <c r="A663">
        <v>663</v>
      </c>
      <c r="B663" t="s">
        <v>5164</v>
      </c>
      <c r="C663" t="s">
        <v>5178</v>
      </c>
      <c r="D663" t="s">
        <v>5179</v>
      </c>
    </row>
    <row r="664" spans="1:4" ht="11.25" customHeight="1">
      <c r="A664">
        <v>664</v>
      </c>
      <c r="B664" t="s">
        <v>5164</v>
      </c>
      <c r="C664" t="s">
        <v>5180</v>
      </c>
      <c r="D664" t="s">
        <v>5181</v>
      </c>
    </row>
    <row r="665" spans="1:4" ht="11.25" customHeight="1">
      <c r="A665">
        <v>665</v>
      </c>
      <c r="B665" t="s">
        <v>5164</v>
      </c>
      <c r="C665" t="s">
        <v>5182</v>
      </c>
      <c r="D665" t="s">
        <v>5183</v>
      </c>
    </row>
    <row r="666" spans="1:4" ht="11.25" customHeight="1">
      <c r="A666">
        <v>666</v>
      </c>
      <c r="B666" t="s">
        <v>5164</v>
      </c>
      <c r="C666" t="s">
        <v>5164</v>
      </c>
      <c r="D666" t="s">
        <v>5184</v>
      </c>
    </row>
    <row r="667" spans="1:4" ht="11.25" customHeight="1">
      <c r="A667">
        <v>667</v>
      </c>
      <c r="B667" t="s">
        <v>5164</v>
      </c>
      <c r="C667" t="s">
        <v>5185</v>
      </c>
      <c r="D667" t="s">
        <v>5186</v>
      </c>
    </row>
    <row r="668" spans="1:4" ht="11.25" customHeight="1">
      <c r="A668">
        <v>668</v>
      </c>
      <c r="B668" t="s">
        <v>5164</v>
      </c>
      <c r="C668" t="s">
        <v>5187</v>
      </c>
      <c r="D668" t="s">
        <v>5188</v>
      </c>
    </row>
    <row r="669" spans="1:4" ht="11.25" customHeight="1">
      <c r="A669">
        <v>669</v>
      </c>
      <c r="B669" t="s">
        <v>5189</v>
      </c>
      <c r="C669" t="s">
        <v>4038</v>
      </c>
      <c r="D669" t="s">
        <v>5190</v>
      </c>
    </row>
    <row r="670" spans="1:4" ht="11.25" customHeight="1">
      <c r="A670">
        <v>670</v>
      </c>
      <c r="B670" t="s">
        <v>5189</v>
      </c>
      <c r="C670" t="s">
        <v>4102</v>
      </c>
      <c r="D670" t="s">
        <v>5191</v>
      </c>
    </row>
    <row r="671" spans="1:4" ht="11.25" customHeight="1">
      <c r="A671">
        <v>671</v>
      </c>
      <c r="B671" t="s">
        <v>5189</v>
      </c>
      <c r="C671" t="s">
        <v>3948</v>
      </c>
      <c r="D671" t="s">
        <v>5192</v>
      </c>
    </row>
    <row r="672" spans="1:4" ht="11.25" customHeight="1">
      <c r="A672">
        <v>672</v>
      </c>
      <c r="B672" t="s">
        <v>5189</v>
      </c>
      <c r="C672" t="s">
        <v>5193</v>
      </c>
      <c r="D672" t="s">
        <v>5194</v>
      </c>
    </row>
    <row r="673" spans="1:4" ht="11.25" customHeight="1">
      <c r="A673">
        <v>673</v>
      </c>
      <c r="B673" t="s">
        <v>5189</v>
      </c>
      <c r="C673" t="s">
        <v>4404</v>
      </c>
      <c r="D673" t="s">
        <v>5195</v>
      </c>
    </row>
    <row r="674" spans="1:4" ht="11.25" customHeight="1">
      <c r="A674">
        <v>674</v>
      </c>
      <c r="B674" t="s">
        <v>5189</v>
      </c>
      <c r="C674" t="s">
        <v>5196</v>
      </c>
      <c r="D674" t="s">
        <v>5197</v>
      </c>
    </row>
    <row r="675" spans="1:4" ht="11.25" customHeight="1">
      <c r="A675">
        <v>675</v>
      </c>
      <c r="B675" t="s">
        <v>5189</v>
      </c>
      <c r="C675" t="s">
        <v>5198</v>
      </c>
      <c r="D675" t="s">
        <v>5199</v>
      </c>
    </row>
    <row r="676" spans="1:4" ht="11.25" customHeight="1">
      <c r="A676">
        <v>676</v>
      </c>
      <c r="B676" t="s">
        <v>5189</v>
      </c>
      <c r="C676" t="s">
        <v>5200</v>
      </c>
      <c r="D676" t="s">
        <v>5201</v>
      </c>
    </row>
    <row r="677" spans="1:4" ht="11.25" customHeight="1">
      <c r="A677">
        <v>677</v>
      </c>
      <c r="B677" t="s">
        <v>5189</v>
      </c>
      <c r="C677" t="s">
        <v>5189</v>
      </c>
      <c r="D677" t="s">
        <v>5202</v>
      </c>
    </row>
    <row r="678" spans="1:4" ht="11.25" customHeight="1">
      <c r="A678">
        <v>678</v>
      </c>
      <c r="B678" t="s">
        <v>5189</v>
      </c>
      <c r="C678" t="s">
        <v>5116</v>
      </c>
      <c r="D678" t="s">
        <v>5203</v>
      </c>
    </row>
    <row r="679" spans="1:4" ht="11.25" customHeight="1">
      <c r="A679">
        <v>679</v>
      </c>
      <c r="B679" t="s">
        <v>5204</v>
      </c>
      <c r="C679" t="s">
        <v>5205</v>
      </c>
      <c r="D679" t="s">
        <v>5206</v>
      </c>
    </row>
    <row r="680" spans="1:4" ht="11.25" customHeight="1">
      <c r="A680">
        <v>680</v>
      </c>
      <c r="B680" t="s">
        <v>5204</v>
      </c>
      <c r="C680" t="s">
        <v>5207</v>
      </c>
      <c r="D680" t="s">
        <v>5208</v>
      </c>
    </row>
    <row r="681" spans="1:4" ht="11.25" customHeight="1">
      <c r="A681">
        <v>681</v>
      </c>
      <c r="B681" t="s">
        <v>5204</v>
      </c>
      <c r="C681" t="s">
        <v>5209</v>
      </c>
      <c r="D681" t="s">
        <v>5210</v>
      </c>
    </row>
    <row r="682" spans="1:4" ht="11.25" customHeight="1">
      <c r="A682">
        <v>682</v>
      </c>
      <c r="B682" t="s">
        <v>5204</v>
      </c>
      <c r="C682" t="s">
        <v>5211</v>
      </c>
      <c r="D682" t="s">
        <v>5212</v>
      </c>
    </row>
    <row r="683" spans="1:4" ht="11.25" customHeight="1">
      <c r="A683">
        <v>683</v>
      </c>
      <c r="B683" t="s">
        <v>5204</v>
      </c>
      <c r="C683" t="s">
        <v>5213</v>
      </c>
      <c r="D683" t="s">
        <v>5214</v>
      </c>
    </row>
    <row r="684" spans="1:4" ht="11.25" customHeight="1">
      <c r="A684">
        <v>684</v>
      </c>
      <c r="B684" t="s">
        <v>5204</v>
      </c>
      <c r="C684" t="s">
        <v>5215</v>
      </c>
      <c r="D684" t="s">
        <v>5216</v>
      </c>
    </row>
    <row r="685" spans="1:4" ht="11.25" customHeight="1">
      <c r="A685">
        <v>685</v>
      </c>
      <c r="B685" t="s">
        <v>5204</v>
      </c>
      <c r="C685" t="s">
        <v>5217</v>
      </c>
      <c r="D685" t="s">
        <v>5218</v>
      </c>
    </row>
    <row r="686" spans="1:4" ht="11.25" customHeight="1">
      <c r="A686">
        <v>686</v>
      </c>
      <c r="B686" t="s">
        <v>5204</v>
      </c>
      <c r="C686" t="s">
        <v>5219</v>
      </c>
      <c r="D686" t="s">
        <v>5220</v>
      </c>
    </row>
    <row r="687" spans="1:4" ht="11.25" customHeight="1">
      <c r="A687">
        <v>687</v>
      </c>
      <c r="B687" t="s">
        <v>5204</v>
      </c>
      <c r="C687" t="s">
        <v>5204</v>
      </c>
      <c r="D687" t="s">
        <v>5221</v>
      </c>
    </row>
    <row r="688" spans="1:4" ht="11.25" customHeight="1">
      <c r="A688">
        <v>688</v>
      </c>
      <c r="B688" t="s">
        <v>5204</v>
      </c>
      <c r="C688" t="s">
        <v>5222</v>
      </c>
      <c r="D688" t="s">
        <v>5223</v>
      </c>
    </row>
    <row r="689" spans="1:4" ht="11.25" customHeight="1">
      <c r="A689">
        <v>689</v>
      </c>
      <c r="B689" t="s">
        <v>5224</v>
      </c>
      <c r="C689" t="s">
        <v>5225</v>
      </c>
      <c r="D689" t="s">
        <v>5226</v>
      </c>
    </row>
    <row r="690" spans="1:4" ht="11.25" customHeight="1">
      <c r="A690">
        <v>690</v>
      </c>
      <c r="B690" t="s">
        <v>5224</v>
      </c>
      <c r="C690" t="s">
        <v>4670</v>
      </c>
      <c r="D690" t="s">
        <v>5227</v>
      </c>
    </row>
    <row r="691" spans="1:4" ht="11.25" customHeight="1">
      <c r="A691">
        <v>691</v>
      </c>
      <c r="B691" t="s">
        <v>5224</v>
      </c>
      <c r="C691" t="s">
        <v>5228</v>
      </c>
      <c r="D691" t="s">
        <v>5229</v>
      </c>
    </row>
    <row r="692" spans="1:4" ht="11.25" customHeight="1">
      <c r="A692">
        <v>692</v>
      </c>
      <c r="B692" t="s">
        <v>5224</v>
      </c>
      <c r="C692" t="s">
        <v>5230</v>
      </c>
      <c r="D692" t="s">
        <v>5231</v>
      </c>
    </row>
    <row r="693" spans="1:4" ht="11.25" customHeight="1">
      <c r="A693">
        <v>693</v>
      </c>
      <c r="B693" t="s">
        <v>5224</v>
      </c>
      <c r="C693" t="s">
        <v>4163</v>
      </c>
      <c r="D693" t="s">
        <v>5232</v>
      </c>
    </row>
    <row r="694" spans="1:4" ht="11.25" customHeight="1">
      <c r="A694">
        <v>694</v>
      </c>
      <c r="B694" t="s">
        <v>5224</v>
      </c>
      <c r="C694" t="s">
        <v>5233</v>
      </c>
      <c r="D694" t="s">
        <v>5234</v>
      </c>
    </row>
    <row r="695" spans="1:4" ht="11.25" customHeight="1">
      <c r="A695">
        <v>695</v>
      </c>
      <c r="B695" t="s">
        <v>5224</v>
      </c>
      <c r="C695" t="s">
        <v>5207</v>
      </c>
      <c r="D695" t="s">
        <v>5235</v>
      </c>
    </row>
    <row r="696" spans="1:4" ht="11.25" customHeight="1">
      <c r="A696">
        <v>696</v>
      </c>
      <c r="B696" t="s">
        <v>5224</v>
      </c>
      <c r="C696" t="s">
        <v>5236</v>
      </c>
      <c r="D696" t="s">
        <v>5237</v>
      </c>
    </row>
    <row r="697" spans="1:4" ht="11.25" customHeight="1">
      <c r="A697">
        <v>697</v>
      </c>
      <c r="B697" t="s">
        <v>5224</v>
      </c>
      <c r="C697" t="s">
        <v>5238</v>
      </c>
      <c r="D697" t="s">
        <v>5239</v>
      </c>
    </row>
    <row r="698" spans="1:4" ht="11.25" customHeight="1">
      <c r="A698">
        <v>698</v>
      </c>
      <c r="B698" t="s">
        <v>5224</v>
      </c>
      <c r="C698" t="s">
        <v>5240</v>
      </c>
      <c r="D698" t="s">
        <v>5241</v>
      </c>
    </row>
    <row r="699" spans="1:4" ht="11.25" customHeight="1">
      <c r="A699">
        <v>699</v>
      </c>
      <c r="B699" t="s">
        <v>5224</v>
      </c>
      <c r="C699" t="s">
        <v>4027</v>
      </c>
      <c r="D699" t="s">
        <v>5242</v>
      </c>
    </row>
    <row r="700" spans="1:4" ht="11.25" customHeight="1">
      <c r="A700">
        <v>700</v>
      </c>
      <c r="B700" t="s">
        <v>5224</v>
      </c>
      <c r="C700" t="s">
        <v>5243</v>
      </c>
      <c r="D700" t="s">
        <v>5244</v>
      </c>
    </row>
    <row r="701" spans="1:4" ht="11.25" customHeight="1">
      <c r="A701">
        <v>701</v>
      </c>
      <c r="B701" t="s">
        <v>5224</v>
      </c>
      <c r="C701" t="s">
        <v>4779</v>
      </c>
      <c r="D701" t="s">
        <v>5245</v>
      </c>
    </row>
    <row r="702" spans="1:4" ht="11.25" customHeight="1">
      <c r="A702">
        <v>702</v>
      </c>
      <c r="B702" t="s">
        <v>5224</v>
      </c>
      <c r="C702" t="s">
        <v>5246</v>
      </c>
      <c r="D702" t="s">
        <v>5247</v>
      </c>
    </row>
    <row r="703" spans="1:4" ht="11.25" customHeight="1">
      <c r="A703">
        <v>703</v>
      </c>
      <c r="B703" t="s">
        <v>5224</v>
      </c>
      <c r="C703" t="s">
        <v>5248</v>
      </c>
      <c r="D703" t="s">
        <v>5249</v>
      </c>
    </row>
    <row r="704" spans="1:4" ht="11.25" customHeight="1">
      <c r="A704">
        <v>704</v>
      </c>
      <c r="B704" t="s">
        <v>5224</v>
      </c>
      <c r="C704" t="s">
        <v>5250</v>
      </c>
      <c r="D704" t="s">
        <v>5251</v>
      </c>
    </row>
    <row r="705" spans="1:4" ht="11.25" customHeight="1">
      <c r="A705">
        <v>705</v>
      </c>
      <c r="B705" t="s">
        <v>5224</v>
      </c>
      <c r="C705" t="s">
        <v>5252</v>
      </c>
      <c r="D705" t="s">
        <v>5253</v>
      </c>
    </row>
    <row r="706" spans="1:4" ht="11.25" customHeight="1">
      <c r="A706">
        <v>706</v>
      </c>
      <c r="B706" t="s">
        <v>5224</v>
      </c>
      <c r="C706" t="s">
        <v>5254</v>
      </c>
      <c r="D706" t="s">
        <v>5255</v>
      </c>
    </row>
    <row r="707" spans="1:4" ht="11.25" customHeight="1">
      <c r="A707">
        <v>707</v>
      </c>
      <c r="B707" t="s">
        <v>5224</v>
      </c>
      <c r="C707" t="s">
        <v>5224</v>
      </c>
      <c r="D707" t="s">
        <v>5256</v>
      </c>
    </row>
    <row r="708" spans="1:4" ht="11.25" customHeight="1">
      <c r="A708">
        <v>708</v>
      </c>
      <c r="B708" t="s">
        <v>5224</v>
      </c>
      <c r="C708" t="s">
        <v>5257</v>
      </c>
      <c r="D708" t="s">
        <v>5258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977"/>
    <col min="2" max="2" width="84.28515625" style="1977" customWidth="1"/>
    <col min="3" max="3" width="9.140625" style="1977"/>
  </cols>
  <sheetData>
    <row r="1" spans="1:3" ht="11.25" customHeight="1">
      <c r="A1" s="753" t="s">
        <v>5259</v>
      </c>
      <c r="B1" s="753" t="s">
        <v>5260</v>
      </c>
      <c r="C1" s="753" t="s">
        <v>1135</v>
      </c>
    </row>
    <row r="2" spans="1:3" ht="11.25" customHeight="1">
      <c r="A2" s="753">
        <v>4189678</v>
      </c>
      <c r="B2" s="753" t="s">
        <v>5261</v>
      </c>
      <c r="C2" s="753" t="s">
        <v>5262</v>
      </c>
    </row>
    <row r="3" spans="1:3" ht="11.25" customHeight="1">
      <c r="A3" s="753">
        <v>4190415</v>
      </c>
      <c r="B3" s="753" t="s">
        <v>5263</v>
      </c>
      <c r="C3" s="753" t="s">
        <v>5262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980" customWidth="1"/>
    <col min="2" max="5" width="9.140625" style="1980"/>
  </cols>
  <sheetData>
    <row r="1" spans="1:5" ht="15" customHeight="1">
      <c r="A1" s="84" t="s">
        <v>5264</v>
      </c>
      <c r="B1" s="84" t="s">
        <v>5265</v>
      </c>
      <c r="C1" s="84"/>
      <c r="D1" s="84"/>
      <c r="E1" s="84"/>
    </row>
    <row r="2" spans="1:5" ht="15" customHeight="1">
      <c r="A2" s="84"/>
      <c r="B2" s="84"/>
      <c r="C2" s="84"/>
      <c r="D2" s="84"/>
      <c r="E2" s="84"/>
    </row>
    <row r="3" spans="1:5" ht="15" customHeight="1">
      <c r="A3" s="84"/>
      <c r="B3" s="84"/>
      <c r="C3" s="84"/>
      <c r="D3" s="84"/>
      <c r="E3" s="84"/>
    </row>
    <row r="4" spans="1:5" ht="15" customHeight="1">
      <c r="A4" s="84"/>
      <c r="B4" s="84"/>
      <c r="C4" s="84"/>
      <c r="D4" s="84"/>
      <c r="E4" s="84"/>
    </row>
    <row r="5" spans="1:5" ht="15" customHeight="1">
      <c r="A5" s="84"/>
      <c r="B5" s="84"/>
      <c r="C5" s="84"/>
      <c r="D5" s="84"/>
      <c r="E5" s="84"/>
    </row>
    <row r="6" spans="1:5" ht="15" customHeight="1">
      <c r="A6" s="84"/>
      <c r="B6" s="84"/>
      <c r="C6" s="84"/>
      <c r="D6" s="84"/>
      <c r="E6" s="84"/>
    </row>
    <row r="7" spans="1:5" ht="15" customHeight="1">
      <c r="A7" s="84"/>
      <c r="B7" s="84"/>
      <c r="C7" s="84"/>
      <c r="D7" s="84"/>
      <c r="E7" s="84"/>
    </row>
    <row r="8" spans="1:5" ht="15" customHeight="1">
      <c r="A8" s="84"/>
      <c r="B8" s="84"/>
      <c r="C8" s="84"/>
      <c r="D8" s="84"/>
      <c r="E8" s="84"/>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5266</v>
      </c>
      <c r="B1" t="b">
        <v>1</v>
      </c>
    </row>
    <row r="2" spans="1:2" ht="11.25" customHeight="1">
      <c r="A2" t="s">
        <v>5267</v>
      </c>
      <c r="B2" t="b">
        <v>0</v>
      </c>
    </row>
    <row r="3" spans="1:2" ht="11.25" customHeight="1">
      <c r="A3" t="s">
        <v>5268</v>
      </c>
      <c r="B3" t="b">
        <v>0</v>
      </c>
    </row>
    <row r="4" spans="1:2" ht="11.25" customHeight="1">
      <c r="A4" t="s">
        <v>5269</v>
      </c>
      <c r="B4" t="b">
        <v>0</v>
      </c>
    </row>
    <row r="5" spans="1:2" ht="11.25" customHeight="1">
      <c r="A5" t="s">
        <v>5270</v>
      </c>
      <c r="B5" t="b">
        <v>1</v>
      </c>
    </row>
    <row r="6" spans="1:2" ht="11.25" customHeight="1">
      <c r="A6" t="s">
        <v>5271</v>
      </c>
      <c r="B6" t="b">
        <v>0</v>
      </c>
    </row>
    <row r="7" spans="1:2" ht="11.25" customHeight="1">
      <c r="A7" t="s">
        <v>5272</v>
      </c>
      <c r="B7" t="b">
        <v>0</v>
      </c>
    </row>
    <row r="8" spans="1:2" ht="11.25" customHeight="1">
      <c r="A8" t="s">
        <v>5273</v>
      </c>
      <c r="B8" t="b">
        <v>0</v>
      </c>
    </row>
    <row r="9" spans="1:2" ht="11.25" customHeight="1">
      <c r="A9" t="s">
        <v>5274</v>
      </c>
      <c r="B9" t="b">
        <v>0</v>
      </c>
    </row>
    <row r="10" spans="1:2" ht="11.25" customHeight="1">
      <c r="A10" t="s">
        <v>5275</v>
      </c>
      <c r="B10" t="b">
        <v>0</v>
      </c>
    </row>
    <row r="11" spans="1:2" ht="11.25" customHeight="1">
      <c r="A11" t="s">
        <v>5276</v>
      </c>
      <c r="B11" t="b">
        <v>1</v>
      </c>
    </row>
    <row r="12" spans="1:2" ht="11.25" customHeight="1">
      <c r="A12" t="s">
        <v>5277</v>
      </c>
      <c r="B12" t="b">
        <v>0</v>
      </c>
    </row>
    <row r="13" spans="1:2" ht="11.25" customHeight="1">
      <c r="A13" t="s">
        <v>5278</v>
      </c>
      <c r="B13" t="b">
        <v>0</v>
      </c>
    </row>
    <row r="14" spans="1:2" ht="11.25" customHeight="1">
      <c r="A14" t="s">
        <v>5279</v>
      </c>
      <c r="B14" t="b">
        <v>0</v>
      </c>
    </row>
    <row r="15" spans="1:2" ht="11.25" customHeight="1">
      <c r="A15" t="s">
        <v>5280</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981"/>
  </cols>
  <sheetData>
    <row r="1" spans="1:1" ht="12.75" customHeight="1">
      <c r="A1" s="28"/>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974" customWidth="1"/>
    <col min="2" max="2" width="21.140625" style="1974" customWidth="1"/>
  </cols>
  <sheetData>
    <row r="1" spans="1:2" ht="11.25" customHeight="1">
      <c r="A1" s="4" t="s">
        <v>5281</v>
      </c>
      <c r="B1" s="4" t="s">
        <v>5282</v>
      </c>
    </row>
    <row r="2" spans="1:2" ht="11.25" customHeight="1">
      <c r="A2" s="1" t="s">
        <v>5283</v>
      </c>
      <c r="B2" s="1" t="s">
        <v>5284</v>
      </c>
    </row>
    <row r="3" spans="1:2" ht="11.25" customHeight="1">
      <c r="A3" s="1" t="s">
        <v>5285</v>
      </c>
      <c r="B3" s="1" t="s">
        <v>5286</v>
      </c>
    </row>
    <row r="4" spans="1:2" ht="11.25" customHeight="1">
      <c r="A4" s="1" t="s">
        <v>5287</v>
      </c>
      <c r="B4" s="1" t="s">
        <v>5288</v>
      </c>
    </row>
    <row r="5" spans="1:2" ht="11.25" customHeight="1">
      <c r="A5" s="1" t="s">
        <v>5289</v>
      </c>
      <c r="B5" s="1" t="s">
        <v>5290</v>
      </c>
    </row>
    <row r="6" spans="1:2" ht="11.25" customHeight="1">
      <c r="A6" s="1" t="s">
        <v>5291</v>
      </c>
      <c r="B6" s="1" t="s">
        <v>5292</v>
      </c>
    </row>
    <row r="7" spans="1:2" ht="11.25" customHeight="1">
      <c r="A7" s="1" t="s">
        <v>5293</v>
      </c>
      <c r="B7" s="1" t="s">
        <v>5294</v>
      </c>
    </row>
    <row r="8" spans="1:2" ht="11.25" customHeight="1">
      <c r="A8" s="1" t="s">
        <v>5295</v>
      </c>
      <c r="B8" s="1" t="s">
        <v>5296</v>
      </c>
    </row>
    <row r="9" spans="1:2" ht="11.25" customHeight="1">
      <c r="A9" s="1" t="s">
        <v>5297</v>
      </c>
      <c r="B9" s="1" t="s">
        <v>5298</v>
      </c>
    </row>
    <row r="10" spans="1:2" ht="11.25" customHeight="1">
      <c r="A10" s="1" t="s">
        <v>5299</v>
      </c>
      <c r="B10" s="1" t="s">
        <v>5300</v>
      </c>
    </row>
    <row r="11" spans="1:2" ht="11.25" customHeight="1">
      <c r="A11" s="1" t="s">
        <v>5301</v>
      </c>
      <c r="B11" s="1" t="s">
        <v>5302</v>
      </c>
    </row>
    <row r="12" spans="1:2" ht="11.25" customHeight="1">
      <c r="A12" s="1" t="s">
        <v>5303</v>
      </c>
      <c r="B12" s="1" t="s">
        <v>5304</v>
      </c>
    </row>
    <row r="13" spans="1:2" ht="11.25" customHeight="1">
      <c r="A13" s="1" t="s">
        <v>5305</v>
      </c>
      <c r="B13" s="1" t="s">
        <v>5306</v>
      </c>
    </row>
    <row r="14" spans="1:2" ht="11.25" customHeight="1">
      <c r="A14" s="1" t="s">
        <v>5307</v>
      </c>
      <c r="B14" s="1" t="s">
        <v>5308</v>
      </c>
    </row>
    <row r="15" spans="1:2" ht="11.25" customHeight="1">
      <c r="A15" s="1" t="s">
        <v>5309</v>
      </c>
      <c r="B15" s="1" t="s">
        <v>5310</v>
      </c>
    </row>
    <row r="16" spans="1:2" ht="11.25" customHeight="1">
      <c r="A16" s="1" t="s">
        <v>5311</v>
      </c>
      <c r="B16" s="1" t="s">
        <v>5312</v>
      </c>
    </row>
    <row r="17" spans="1:2" ht="11.25" customHeight="1">
      <c r="A17" s="1" t="s">
        <v>5313</v>
      </c>
      <c r="B17" s="1" t="s">
        <v>5314</v>
      </c>
    </row>
    <row r="18" spans="1:2" ht="11.25" customHeight="1">
      <c r="A18" s="1" t="s">
        <v>5315</v>
      </c>
      <c r="B18" s="1" t="s">
        <v>5316</v>
      </c>
    </row>
    <row r="19" spans="1:2" ht="11.25" customHeight="1">
      <c r="A19" s="1" t="s">
        <v>5317</v>
      </c>
      <c r="B19" s="1" t="s">
        <v>5318</v>
      </c>
    </row>
    <row r="20" spans="1:2" ht="11.25" customHeight="1">
      <c r="A20" s="1" t="s">
        <v>5319</v>
      </c>
      <c r="B20" s="1" t="s">
        <v>5320</v>
      </c>
    </row>
    <row r="21" spans="1:2" ht="11.25" customHeight="1">
      <c r="A21" s="1" t="s">
        <v>5321</v>
      </c>
      <c r="B21" s="1" t="s">
        <v>5322</v>
      </c>
    </row>
    <row r="22" spans="1:2" ht="11.25" customHeight="1">
      <c r="A22" s="1" t="s">
        <v>5323</v>
      </c>
      <c r="B22" s="1" t="s">
        <v>5324</v>
      </c>
    </row>
    <row r="23" spans="1:2" ht="11.25" customHeight="1">
      <c r="A23" s="1" t="s">
        <v>5325</v>
      </c>
      <c r="B23" s="1" t="s">
        <v>5326</v>
      </c>
    </row>
    <row r="24" spans="1:2" ht="11.25" customHeight="1">
      <c r="A24" s="1" t="s">
        <v>5327</v>
      </c>
      <c r="B24" s="1" t="s">
        <v>5328</v>
      </c>
    </row>
    <row r="25" spans="1:2" ht="11.25" customHeight="1">
      <c r="A25" s="1" t="s">
        <v>5329</v>
      </c>
      <c r="B25" s="1" t="s">
        <v>5330</v>
      </c>
    </row>
    <row r="26" spans="1:2" ht="11.25" customHeight="1">
      <c r="A26" s="1" t="s">
        <v>5331</v>
      </c>
      <c r="B26" s="1" t="s">
        <v>5332</v>
      </c>
    </row>
    <row r="27" spans="1:2" ht="11.25" customHeight="1">
      <c r="A27" s="1" t="s">
        <v>5333</v>
      </c>
      <c r="B27" s="1" t="s">
        <v>5334</v>
      </c>
    </row>
    <row r="28" spans="1:2" ht="11.25" customHeight="1">
      <c r="A28" s="1" t="s">
        <v>5335</v>
      </c>
      <c r="B28" s="1" t="s">
        <v>5336</v>
      </c>
    </row>
    <row r="29" spans="1:2" ht="11.25" customHeight="1">
      <c r="A29" s="1" t="s">
        <v>5337</v>
      </c>
      <c r="B29" s="1" t="s">
        <v>5338</v>
      </c>
    </row>
    <row r="30" spans="1:2" ht="11.25" customHeight="1">
      <c r="A30" s="1" t="s">
        <v>5339</v>
      </c>
      <c r="B30" s="1" t="s">
        <v>5340</v>
      </c>
    </row>
    <row r="31" spans="1:2" ht="11.25" customHeight="1">
      <c r="A31" s="1" t="s">
        <v>5341</v>
      </c>
      <c r="B31" s="1" t="s">
        <v>5342</v>
      </c>
    </row>
    <row r="32" spans="1:2" ht="11.25" customHeight="1">
      <c r="A32" s="1" t="s">
        <v>5343</v>
      </c>
      <c r="B32" s="1" t="s">
        <v>5344</v>
      </c>
    </row>
    <row r="33" spans="1:2" ht="11.25" customHeight="1">
      <c r="A33" s="1" t="s">
        <v>5345</v>
      </c>
      <c r="B33" s="1" t="s">
        <v>5346</v>
      </c>
    </row>
    <row r="34" spans="1:2" ht="11.25" customHeight="1">
      <c r="A34" s="1" t="s">
        <v>5347</v>
      </c>
      <c r="B34" s="1" t="s">
        <v>5348</v>
      </c>
    </row>
    <row r="35" spans="1:2" ht="11.25" customHeight="1">
      <c r="A35" s="1" t="s">
        <v>5349</v>
      </c>
      <c r="B35" s="1" t="s">
        <v>5350</v>
      </c>
    </row>
    <row r="36" spans="1:2" ht="11.25" customHeight="1">
      <c r="A36" s="1" t="s">
        <v>5351</v>
      </c>
      <c r="B36" s="1" t="s">
        <v>5352</v>
      </c>
    </row>
    <row r="37" spans="1:2" ht="11.25" customHeight="1">
      <c r="A37" s="1" t="s">
        <v>5353</v>
      </c>
      <c r="B37" s="1" t="s">
        <v>5354</v>
      </c>
    </row>
    <row r="38" spans="1:2" ht="11.25" customHeight="1">
      <c r="A38" s="1" t="s">
        <v>5355</v>
      </c>
      <c r="B38" s="1" t="s">
        <v>5356</v>
      </c>
    </row>
    <row r="39" spans="1:2" ht="11.25" customHeight="1">
      <c r="A39" s="1" t="s">
        <v>5357</v>
      </c>
      <c r="B39" s="1" t="s">
        <v>5358</v>
      </c>
    </row>
    <row r="40" spans="1:2" ht="11.25" customHeight="1">
      <c r="A40" s="1" t="s">
        <v>5359</v>
      </c>
      <c r="B40" s="1" t="s">
        <v>5360</v>
      </c>
    </row>
    <row r="41" spans="1:2" ht="11.25" customHeight="1">
      <c r="A41" s="1" t="s">
        <v>5361</v>
      </c>
      <c r="B41" s="1" t="s">
        <v>5362</v>
      </c>
    </row>
    <row r="42" spans="1:2" ht="11.25" customHeight="1">
      <c r="A42" s="1" t="s">
        <v>5363</v>
      </c>
      <c r="B42" s="1" t="s">
        <v>5364</v>
      </c>
    </row>
    <row r="43" spans="1:2" ht="11.25" customHeight="1">
      <c r="A43" s="1" t="s">
        <v>5365</v>
      </c>
      <c r="B43" s="1" t="s">
        <v>5366</v>
      </c>
    </row>
    <row r="44" spans="1:2" ht="11.25" customHeight="1">
      <c r="A44" s="1" t="s">
        <v>5367</v>
      </c>
      <c r="B44" s="1" t="s">
        <v>5368</v>
      </c>
    </row>
    <row r="45" spans="1:2" ht="11.25" customHeight="1">
      <c r="A45" s="1" t="s">
        <v>5369</v>
      </c>
      <c r="B45" s="1" t="s">
        <v>5370</v>
      </c>
    </row>
    <row r="46" spans="1:2" ht="11.25" customHeight="1">
      <c r="A46" s="1" t="s">
        <v>5371</v>
      </c>
      <c r="B46" s="1" t="s">
        <v>5372</v>
      </c>
    </row>
    <row r="47" spans="1:2" ht="11.25" customHeight="1">
      <c r="A47" s="1" t="s">
        <v>5373</v>
      </c>
      <c r="B47" s="1" t="s">
        <v>5374</v>
      </c>
    </row>
    <row r="48" spans="1:2" ht="11.25" customHeight="1">
      <c r="A48" s="1" t="s">
        <v>5375</v>
      </c>
      <c r="B48" s="1" t="s">
        <v>5376</v>
      </c>
    </row>
    <row r="49" spans="1:2" ht="11.25" customHeight="1">
      <c r="A49" s="1" t="s">
        <v>5377</v>
      </c>
      <c r="B49" s="1" t="s">
        <v>5378</v>
      </c>
    </row>
    <row r="50" spans="1:2" ht="11.25" customHeight="1">
      <c r="A50" s="1" t="s">
        <v>5379</v>
      </c>
      <c r="B50" s="1" t="s">
        <v>5380</v>
      </c>
    </row>
    <row r="51" spans="1:2" ht="11.25" customHeight="1">
      <c r="A51" s="1" t="s">
        <v>5381</v>
      </c>
      <c r="B51" s="1" t="s">
        <v>5382</v>
      </c>
    </row>
    <row r="52" spans="1:2" ht="11.25" customHeight="1">
      <c r="A52" s="1" t="s">
        <v>5383</v>
      </c>
      <c r="B52" s="1" t="s">
        <v>5384</v>
      </c>
    </row>
    <row r="53" spans="1:2" ht="11.25" customHeight="1">
      <c r="A53" s="1" t="s">
        <v>5385</v>
      </c>
      <c r="B53" s="1" t="s">
        <v>5386</v>
      </c>
    </row>
    <row r="54" spans="1:2" ht="11.25" customHeight="1">
      <c r="A54" s="1" t="s">
        <v>5387</v>
      </c>
      <c r="B54" s="1" t="s">
        <v>5388</v>
      </c>
    </row>
    <row r="55" spans="1:2" ht="11.25" customHeight="1">
      <c r="A55" s="1" t="s">
        <v>5389</v>
      </c>
      <c r="B55" s="1" t="s">
        <v>5390</v>
      </c>
    </row>
    <row r="56" spans="1:2" ht="11.25" customHeight="1">
      <c r="A56" s="1" t="s">
        <v>5391</v>
      </c>
      <c r="B56" s="1" t="s">
        <v>5392</v>
      </c>
    </row>
    <row r="57" spans="1:2" ht="11.25" customHeight="1">
      <c r="A57" s="1" t="s">
        <v>5393</v>
      </c>
      <c r="B57" s="1" t="s">
        <v>5394</v>
      </c>
    </row>
    <row r="58" spans="1:2" ht="11.25" customHeight="1">
      <c r="A58" s="1" t="s">
        <v>5395</v>
      </c>
      <c r="B58" s="1" t="s">
        <v>5396</v>
      </c>
    </row>
    <row r="59" spans="1:2" ht="11.25" customHeight="1">
      <c r="A59" s="1" t="s">
        <v>5397</v>
      </c>
      <c r="B59" s="1" t="s">
        <v>5398</v>
      </c>
    </row>
    <row r="60" spans="1:2" ht="11.25" customHeight="1">
      <c r="A60" s="1" t="s">
        <v>5399</v>
      </c>
      <c r="B60" s="1" t="s">
        <v>5400</v>
      </c>
    </row>
    <row r="61" spans="1:2" ht="11.25" customHeight="1">
      <c r="A61" s="1"/>
      <c r="B61" s="1" t="s">
        <v>5401</v>
      </c>
    </row>
    <row r="62" spans="1:2" ht="11.25" customHeight="1">
      <c r="A62" s="1"/>
      <c r="B62" s="1" t="s">
        <v>5402</v>
      </c>
    </row>
    <row r="63" spans="1:2" ht="11.25" customHeight="1">
      <c r="A63" s="1"/>
      <c r="B63" s="1" t="s">
        <v>5403</v>
      </c>
    </row>
    <row r="64" spans="1:2" ht="11.25" customHeight="1">
      <c r="A64" s="1"/>
      <c r="B64" s="1" t="s">
        <v>5404</v>
      </c>
    </row>
    <row r="65" spans="1:2" ht="11.25" customHeight="1">
      <c r="A65" s="1"/>
      <c r="B65" s="1" t="s">
        <v>5405</v>
      </c>
    </row>
    <row r="66" spans="1:2" ht="11.25" customHeight="1">
      <c r="A66" s="1"/>
      <c r="B66" s="1" t="s">
        <v>5406</v>
      </c>
    </row>
    <row r="67" spans="1:2" ht="11.25" customHeight="1">
      <c r="A67" s="1"/>
      <c r="B67" s="1" t="s">
        <v>5407</v>
      </c>
    </row>
    <row r="68" spans="1:2" ht="11.25" customHeight="1">
      <c r="A68" s="1"/>
      <c r="B68" s="1" t="s">
        <v>5408</v>
      </c>
    </row>
    <row r="69" spans="1:2" ht="11.25" customHeight="1">
      <c r="A69" s="1"/>
      <c r="B69" s="1" t="s">
        <v>5409</v>
      </c>
    </row>
    <row r="70" spans="1:2" ht="11.25" customHeight="1">
      <c r="A70" s="1"/>
      <c r="B70" s="1" t="s">
        <v>5410</v>
      </c>
    </row>
    <row r="71" spans="1:2" ht="11.25" customHeight="1">
      <c r="A71" s="1"/>
      <c r="B71" s="1"/>
    </row>
    <row r="72" spans="1:2" ht="11.25" customHeight="1">
      <c r="A72" s="1"/>
      <c r="B72" s="1"/>
    </row>
    <row r="73" spans="1:2" ht="11.25" customHeight="1">
      <c r="A73" s="1"/>
      <c r="B73" s="1"/>
    </row>
    <row r="74" spans="1:2" ht="11.25" customHeight="1">
      <c r="A74" s="1"/>
      <c r="B74" s="1"/>
    </row>
    <row r="75" spans="1:2" ht="11.25" customHeight="1">
      <c r="A75" s="1"/>
      <c r="B75" s="1"/>
    </row>
    <row r="76" spans="1:2" ht="11.25" customHeight="1">
      <c r="A76" s="1"/>
      <c r="B76" s="1"/>
    </row>
    <row r="77" spans="1:2" ht="11.25" customHeight="1">
      <c r="A77" s="1"/>
      <c r="B77" s="1"/>
    </row>
    <row r="78" spans="1:2" ht="11.25" customHeight="1">
      <c r="A78" s="1"/>
      <c r="B78" s="1"/>
    </row>
    <row r="79" spans="1:2" ht="11.25" customHeight="1">
      <c r="A79" s="1"/>
      <c r="B79" s="1"/>
    </row>
    <row r="80" spans="1:2" ht="11.25" customHeight="1">
      <c r="A80" s="1"/>
      <c r="B80" s="1"/>
    </row>
    <row r="81" spans="1:2" ht="11.25" customHeight="1">
      <c r="A81" s="1"/>
      <c r="B81" s="1"/>
    </row>
    <row r="82" spans="1:2" ht="11.25" customHeight="1">
      <c r="A82" s="1"/>
      <c r="B82" s="1"/>
    </row>
    <row r="83" spans="1:2" ht="11.25" customHeight="1">
      <c r="A83" s="1"/>
      <c r="B83" s="1"/>
    </row>
    <row r="84" spans="1:2" ht="11.25" customHeight="1">
      <c r="A84" s="1"/>
      <c r="B84" s="1"/>
    </row>
    <row r="85" spans="1:2" ht="11.25" customHeight="1">
      <c r="A85" s="1"/>
      <c r="B85" s="1"/>
    </row>
    <row r="86" spans="1:2" ht="11.25" customHeight="1">
      <c r="A86" s="1"/>
      <c r="B86" s="1"/>
    </row>
    <row r="87" spans="1:2" ht="11.25" customHeight="1">
      <c r="A87" s="1"/>
      <c r="B87" s="1"/>
    </row>
    <row r="88" spans="1:2" ht="11.25" customHeight="1">
      <c r="A88" s="1"/>
      <c r="B88" s="1"/>
    </row>
    <row r="89" spans="1:2" ht="11.25" customHeight="1">
      <c r="A89" s="1"/>
      <c r="B89" s="1"/>
    </row>
    <row r="90" spans="1:2" ht="11.25" customHeight="1">
      <c r="A90" s="1"/>
      <c r="B90" s="1"/>
    </row>
    <row r="91" spans="1:2" ht="11.25" customHeight="1">
      <c r="A91" s="1"/>
      <c r="B91" s="1"/>
    </row>
    <row r="92" spans="1:2" ht="11.25" customHeight="1">
      <c r="A92" s="1"/>
      <c r="B92" s="1"/>
    </row>
    <row r="93" spans="1:2" ht="11.25" customHeight="1">
      <c r="A93" s="1"/>
      <c r="B93" s="1"/>
    </row>
    <row r="94" spans="1:2" ht="11.25" customHeight="1">
      <c r="A94" s="1"/>
      <c r="B94" s="1"/>
    </row>
    <row r="95" spans="1:2" ht="11.25" customHeight="1">
      <c r="A95" s="1"/>
      <c r="B95" s="1"/>
    </row>
    <row r="96" spans="1:2" ht="11.25" customHeight="1">
      <c r="A96" s="1"/>
      <c r="B96" s="1"/>
    </row>
    <row r="97" spans="1:2" ht="11.25" customHeight="1">
      <c r="A97" s="1"/>
      <c r="B97" s="1"/>
    </row>
    <row r="98" spans="1:2" ht="11.25" customHeight="1">
      <c r="A98" s="1"/>
      <c r="B98" s="1"/>
    </row>
    <row r="99" spans="1:2" ht="11.25" customHeight="1">
      <c r="A99" s="1"/>
      <c r="B99" s="1"/>
    </row>
    <row r="100" spans="1:2" ht="11.25" customHeight="1">
      <c r="A100" s="1"/>
      <c r="B100" s="1"/>
    </row>
    <row r="101" spans="1:2" ht="11.25" customHeight="1">
      <c r="A101" s="1"/>
      <c r="B101" s="1"/>
    </row>
    <row r="102" spans="1:2" ht="11.25" customHeight="1">
      <c r="A102" s="1"/>
      <c r="B102" s="1"/>
    </row>
    <row r="103" spans="1:2" ht="11.25" customHeight="1">
      <c r="A103" s="1"/>
      <c r="B103" s="1"/>
    </row>
    <row r="104" spans="1:2" ht="11.25" customHeight="1">
      <c r="A104" s="1"/>
      <c r="B104" s="1"/>
    </row>
    <row r="105" spans="1:2" ht="11.25" customHeight="1">
      <c r="A105" s="1"/>
      <c r="B105" s="1"/>
    </row>
    <row r="106" spans="1:2" ht="11.25" customHeight="1">
      <c r="A106" s="1"/>
      <c r="B106" s="1"/>
    </row>
    <row r="107" spans="1:2" ht="11.25" customHeight="1">
      <c r="A107" s="1"/>
      <c r="B107" s="1"/>
    </row>
    <row r="108" spans="1:2" ht="11.25" customHeight="1">
      <c r="A108" s="1"/>
      <c r="B108" s="1"/>
    </row>
    <row r="109" spans="1:2" ht="11.25" customHeight="1">
      <c r="A109" s="1"/>
      <c r="B109" s="1"/>
    </row>
    <row r="110" spans="1:2" ht="11.25" customHeight="1">
      <c r="A110" s="1"/>
      <c r="B110" s="1"/>
    </row>
    <row r="111" spans="1:2" ht="11.25" customHeight="1">
      <c r="A111" s="1"/>
      <c r="B111" s="1"/>
    </row>
    <row r="112" spans="1:2" ht="11.25" customHeight="1">
      <c r="A112" s="1"/>
      <c r="B112" s="1"/>
    </row>
    <row r="113" spans="1:2" ht="11.25" customHeight="1">
      <c r="A113" s="1"/>
      <c r="B113" s="1"/>
    </row>
    <row r="114" spans="1:2" ht="11.25" customHeight="1">
      <c r="A114" s="1"/>
      <c r="B114" s="1"/>
    </row>
    <row r="115" spans="1:2" ht="11.25" customHeight="1">
      <c r="A115" s="1"/>
      <c r="B115" s="1"/>
    </row>
    <row r="116" spans="1:2" ht="11.25" customHeight="1">
      <c r="A116" s="1"/>
      <c r="B116" s="1"/>
    </row>
    <row r="117" spans="1:2" ht="11.25" customHeight="1">
      <c r="A117" s="1"/>
      <c r="B117" s="1"/>
    </row>
    <row r="118" spans="1:2" ht="11.25" customHeight="1">
      <c r="A118" s="1"/>
      <c r="B118" s="1"/>
    </row>
    <row r="119" spans="1:2" ht="11.25" customHeight="1">
      <c r="A119" s="1"/>
      <c r="B119" s="1"/>
    </row>
    <row r="120" spans="1:2" ht="11.25" customHeight="1">
      <c r="A120" s="1"/>
      <c r="B120" s="1"/>
    </row>
    <row r="121" spans="1:2" ht="11.25" customHeight="1">
      <c r="A121" s="1"/>
      <c r="B121" s="1"/>
    </row>
    <row r="122" spans="1:2" ht="11.25" customHeight="1">
      <c r="A122" s="1"/>
      <c r="B122" s="1"/>
    </row>
    <row r="123" spans="1:2" ht="11.25" customHeight="1">
      <c r="A123" s="1"/>
      <c r="B123" s="1"/>
    </row>
    <row r="124" spans="1:2" ht="11.25" customHeight="1">
      <c r="A124" s="1"/>
      <c r="B124" s="1"/>
    </row>
    <row r="125" spans="1:2" ht="11.25" customHeight="1">
      <c r="A125" s="1"/>
      <c r="B125" s="1"/>
    </row>
    <row r="126" spans="1:2" ht="11.25" customHeight="1">
      <c r="A126" s="1"/>
      <c r="B126" s="1"/>
    </row>
    <row r="127" spans="1:2" ht="11.25" customHeight="1">
      <c r="A127" s="1"/>
      <c r="B127" s="1"/>
    </row>
    <row r="128" spans="1:2" ht="11.25" customHeight="1">
      <c r="A128" s="1"/>
      <c r="B128" s="1"/>
    </row>
    <row r="129" spans="1:2" ht="11.25" customHeight="1">
      <c r="A129" s="1"/>
      <c r="B129" s="1"/>
    </row>
    <row r="130" spans="1:2" ht="11.25" customHeight="1">
      <c r="A130" s="1"/>
      <c r="B130" s="1"/>
    </row>
    <row r="131" spans="1:2" ht="11.25" customHeight="1">
      <c r="A131" s="1"/>
      <c r="B131" s="1"/>
    </row>
    <row r="132" spans="1:2" ht="11.25" customHeight="1">
      <c r="A132" s="1"/>
      <c r="B132" s="1"/>
    </row>
    <row r="133" spans="1:2" ht="11.25" customHeight="1">
      <c r="A133" s="1"/>
      <c r="B133" s="1"/>
    </row>
    <row r="134" spans="1:2" ht="11.25" customHeight="1">
      <c r="A134" s="1"/>
      <c r="B134" s="1"/>
    </row>
    <row r="135" spans="1:2" ht="11.25" customHeight="1">
      <c r="A135" s="1"/>
      <c r="B135" s="1"/>
    </row>
    <row r="136" spans="1:2" ht="11.25" customHeight="1">
      <c r="A136" s="1"/>
      <c r="B136" s="1"/>
    </row>
    <row r="137" spans="1:2" ht="11.25" customHeight="1">
      <c r="A137" s="1"/>
      <c r="B137" s="1"/>
    </row>
    <row r="138" spans="1:2" ht="11.25" customHeight="1">
      <c r="A138" s="1"/>
      <c r="B138" s="1"/>
    </row>
    <row r="139" spans="1:2" ht="11.25" customHeight="1">
      <c r="A139" s="1"/>
      <c r="B139" s="1"/>
    </row>
    <row r="140" spans="1:2" ht="11.25" customHeight="1">
      <c r="A140" s="1"/>
      <c r="B140" s="1"/>
    </row>
    <row r="141" spans="1:2" ht="11.25" customHeight="1">
      <c r="A141" s="1"/>
      <c r="B141" s="1"/>
    </row>
    <row r="142" spans="1:2" ht="11.25" customHeight="1">
      <c r="A142" s="1"/>
      <c r="B142" s="1"/>
    </row>
    <row r="143" spans="1:2" ht="11.25" customHeight="1">
      <c r="A143" s="1"/>
      <c r="B143" s="1"/>
    </row>
    <row r="144" spans="1:2" ht="11.25" customHeight="1">
      <c r="A144" s="1"/>
      <c r="B144" s="1"/>
    </row>
    <row r="145" spans="1:2" ht="11.25" customHeight="1">
      <c r="A145" s="1"/>
      <c r="B145" s="1"/>
    </row>
    <row r="146" spans="1:2" ht="11.25" customHeight="1">
      <c r="A146" s="1"/>
      <c r="B146" s="1"/>
    </row>
    <row r="147" spans="1:2" ht="11.25" customHeight="1">
      <c r="A147" s="1"/>
      <c r="B147" s="1"/>
    </row>
    <row r="148" spans="1:2" ht="11.25" customHeight="1">
      <c r="A148" s="1"/>
      <c r="B148" s="1"/>
    </row>
    <row r="149" spans="1:2" ht="11.25" customHeight="1">
      <c r="A149" s="1"/>
      <c r="B149" s="1"/>
    </row>
    <row r="150" spans="1:2" ht="11.25" customHeight="1">
      <c r="A150" s="1"/>
      <c r="B150" s="1"/>
    </row>
    <row r="151" spans="1:2" ht="11.25" customHeight="1">
      <c r="A151" s="1"/>
      <c r="B151" s="1"/>
    </row>
    <row r="152" spans="1:2" ht="11.25" customHeight="1">
      <c r="A152" s="1"/>
      <c r="B152" s="1"/>
    </row>
    <row r="153" spans="1:2" ht="11.25" customHeight="1">
      <c r="A153" s="1"/>
      <c r="B153" s="1"/>
    </row>
    <row r="154" spans="1:2" ht="11.25" customHeight="1">
      <c r="A154" s="1"/>
      <c r="B154" s="1"/>
    </row>
    <row r="155" spans="1:2" ht="11.25" customHeight="1">
      <c r="A155" s="1"/>
      <c r="B155" s="1"/>
    </row>
    <row r="156" spans="1:2" ht="11.25" customHeight="1">
      <c r="A156" s="1"/>
      <c r="B156" s="1"/>
    </row>
    <row r="157" spans="1:2" ht="11.25" customHeight="1">
      <c r="A157" s="1"/>
      <c r="B157" s="1"/>
    </row>
    <row r="158" spans="1:2" ht="11.25" customHeight="1">
      <c r="A158" s="1"/>
      <c r="B158" s="1"/>
    </row>
    <row r="159" spans="1:2" ht="11.25" customHeight="1">
      <c r="A159" s="1"/>
      <c r="B159" s="1"/>
    </row>
    <row r="160" spans="1:2" ht="11.25" customHeight="1">
      <c r="A160" s="1"/>
      <c r="B160" s="1"/>
    </row>
    <row r="161" spans="1:2" ht="11.25" customHeight="1">
      <c r="A161" s="1"/>
      <c r="B161" s="1"/>
    </row>
    <row r="162" spans="1:2" ht="11.25" customHeight="1">
      <c r="A162" s="1"/>
      <c r="B162" s="1"/>
    </row>
    <row r="163" spans="1:2" ht="11.25" customHeight="1">
      <c r="A163" s="1"/>
      <c r="B163" s="1"/>
    </row>
    <row r="164" spans="1:2" ht="11.25" customHeight="1">
      <c r="A164" s="1"/>
      <c r="B164" s="1"/>
    </row>
    <row r="165" spans="1:2" ht="11.25" customHeight="1">
      <c r="A165" s="1"/>
      <c r="B165" s="1"/>
    </row>
    <row r="166" spans="1:2" ht="11.25" customHeight="1">
      <c r="A166" s="1"/>
      <c r="B166" s="1"/>
    </row>
    <row r="167" spans="1:2" ht="11.25" customHeight="1">
      <c r="A167" s="1"/>
      <c r="B167" s="1"/>
    </row>
    <row r="168" spans="1:2" ht="11.25" customHeight="1">
      <c r="A168" s="1"/>
      <c r="B168" s="1"/>
    </row>
    <row r="169" spans="1:2" ht="11.25" customHeight="1">
      <c r="A169" s="1"/>
      <c r="B169" s="1"/>
    </row>
    <row r="170" spans="1:2" ht="11.25" customHeight="1">
      <c r="A170" s="1"/>
      <c r="B170" s="1"/>
    </row>
    <row r="171" spans="1:2" ht="11.25" customHeight="1">
      <c r="A171" s="1"/>
      <c r="B171" s="1"/>
    </row>
    <row r="172" spans="1:2" ht="11.25" customHeight="1">
      <c r="A172" s="1"/>
      <c r="B172" s="1"/>
    </row>
    <row r="173" spans="1:2" ht="11.25" customHeight="1">
      <c r="A173" s="1"/>
      <c r="B173" s="1"/>
    </row>
    <row r="174" spans="1:2" ht="11.25" customHeight="1">
      <c r="A174" s="1"/>
      <c r="B174" s="1"/>
    </row>
    <row r="175" spans="1:2" ht="11.25" customHeight="1">
      <c r="A175" s="1"/>
      <c r="B175" s="1"/>
    </row>
    <row r="176" spans="1:2" ht="11.25" customHeight="1">
      <c r="A176" s="1"/>
      <c r="B176" s="1"/>
    </row>
    <row r="177" spans="1:2" ht="11.25" customHeight="1">
      <c r="A177" s="1"/>
      <c r="B177" s="1"/>
    </row>
    <row r="178" spans="1:2" ht="11.25" customHeight="1">
      <c r="A178" s="1"/>
      <c r="B178" s="1"/>
    </row>
    <row r="179" spans="1:2" ht="11.25" customHeight="1">
      <c r="A179" s="1"/>
      <c r="B179" s="1"/>
    </row>
    <row r="180" spans="1:2" ht="11.25" customHeight="1">
      <c r="A180" s="1"/>
      <c r="B180" s="1"/>
    </row>
    <row r="181" spans="1:2" ht="11.25" customHeight="1">
      <c r="A181" s="1"/>
      <c r="B181" s="1"/>
    </row>
    <row r="182" spans="1:2" ht="11.25" customHeight="1">
      <c r="A182" s="1"/>
      <c r="B182" s="1"/>
    </row>
    <row r="183" spans="1:2" ht="11.25" customHeight="1">
      <c r="A183" s="1"/>
      <c r="B183" s="1"/>
    </row>
    <row r="184" spans="1:2" ht="11.25" customHeight="1">
      <c r="A184" s="1"/>
      <c r="B184" s="1"/>
    </row>
    <row r="185" spans="1:2" ht="11.25" customHeight="1">
      <c r="A185" s="1"/>
      <c r="B185" s="1"/>
    </row>
    <row r="186" spans="1:2" ht="11.25" customHeight="1">
      <c r="A186" s="1"/>
      <c r="B186" s="1"/>
    </row>
    <row r="187" spans="1:2" ht="11.25" customHeight="1">
      <c r="A187" s="1"/>
      <c r="B187" s="1"/>
    </row>
    <row r="188" spans="1:2" ht="11.25" customHeight="1">
      <c r="A188" s="1"/>
      <c r="B188" s="1"/>
    </row>
    <row r="189" spans="1:2" ht="11.25" customHeight="1">
      <c r="A189" s="1"/>
      <c r="B189" s="1"/>
    </row>
    <row r="190" spans="1:2" ht="11.25" customHeight="1">
      <c r="A190" s="1"/>
      <c r="B190" s="1"/>
    </row>
    <row r="191" spans="1:2" ht="11.25" customHeight="1">
      <c r="A191" s="1"/>
      <c r="B191" s="1"/>
    </row>
    <row r="192" spans="1:2" ht="11.25" customHeight="1">
      <c r="A192" s="1"/>
      <c r="B192" s="1"/>
    </row>
    <row r="193" spans="1:2" ht="11.25" customHeight="1">
      <c r="A193" s="1"/>
      <c r="B193" s="1"/>
    </row>
    <row r="194" spans="1:2" ht="11.25" customHeight="1">
      <c r="A194" s="1"/>
      <c r="B194" s="1"/>
    </row>
    <row r="195" spans="1:2" ht="11.25" customHeight="1">
      <c r="A195" s="1"/>
      <c r="B195" s="1"/>
    </row>
    <row r="196" spans="1:2" ht="11.25" customHeight="1">
      <c r="A196" s="1"/>
      <c r="B196" s="1"/>
    </row>
    <row r="197" spans="1:2" ht="11.25" customHeight="1">
      <c r="A197" s="1"/>
      <c r="B197" s="1"/>
    </row>
    <row r="198" spans="1:2" ht="11.25" customHeight="1">
      <c r="A198" s="1"/>
      <c r="B198" s="1"/>
    </row>
    <row r="199" spans="1:2" ht="11.25" customHeight="1">
      <c r="A199" s="1"/>
      <c r="B199" s="1"/>
    </row>
    <row r="200" spans="1:2" ht="11.25" customHeight="1">
      <c r="A200" s="1"/>
      <c r="B200" s="1"/>
    </row>
    <row r="201" spans="1:2" ht="11.25" customHeight="1">
      <c r="A201" s="1"/>
      <c r="B201" s="1"/>
    </row>
    <row r="202" spans="1:2" ht="11.25" customHeight="1">
      <c r="A202" s="1"/>
      <c r="B202" s="1"/>
    </row>
    <row r="203" spans="1:2" ht="11.25" customHeight="1">
      <c r="A203" s="1"/>
      <c r="B203" s="1"/>
    </row>
    <row r="204" spans="1:2" ht="11.25" customHeight="1">
      <c r="A204" s="1"/>
      <c r="B204" s="1"/>
    </row>
    <row r="205" spans="1:2" ht="11.25" customHeight="1">
      <c r="A205" s="1"/>
      <c r="B205" s="1"/>
    </row>
    <row r="206" spans="1:2" ht="11.25" customHeight="1">
      <c r="A206" s="1"/>
      <c r="B206" s="1"/>
    </row>
    <row r="207" spans="1:2" ht="11.25" customHeight="1">
      <c r="A207" s="1"/>
      <c r="B207" s="1"/>
    </row>
    <row r="208" spans="1:2" ht="11.25" customHeight="1">
      <c r="A208" s="1"/>
      <c r="B208" s="1"/>
    </row>
    <row r="209" spans="1:2" ht="11.25" customHeight="1">
      <c r="A209" s="1"/>
      <c r="B209" s="1"/>
    </row>
    <row r="210" spans="1:2" ht="11.25" customHeight="1">
      <c r="A210" s="1"/>
      <c r="B210" s="1"/>
    </row>
    <row r="211" spans="1:2" ht="11.25" customHeight="1">
      <c r="A211" s="1"/>
      <c r="B211" s="1"/>
    </row>
    <row r="212" spans="1:2" ht="11.25" customHeight="1">
      <c r="A212" s="1"/>
      <c r="B212" s="1"/>
    </row>
    <row r="213" spans="1:2" ht="11.25" customHeight="1">
      <c r="A213" s="1"/>
      <c r="B213" s="1"/>
    </row>
    <row r="214" spans="1:2" ht="11.25" customHeight="1">
      <c r="A214" s="1"/>
      <c r="B214" s="1"/>
    </row>
    <row r="215" spans="1:2" ht="11.25" customHeight="1">
      <c r="A215" s="1"/>
      <c r="B215" s="1"/>
    </row>
    <row r="216" spans="1:2" ht="11.25" customHeight="1">
      <c r="A216" s="1"/>
      <c r="B216" s="1"/>
    </row>
    <row r="217" spans="1:2" ht="11.25" customHeight="1">
      <c r="A217" s="1"/>
      <c r="B217" s="1"/>
    </row>
    <row r="218" spans="1:2" ht="11.25" customHeight="1">
      <c r="A218" s="1"/>
      <c r="B218" s="1"/>
    </row>
    <row r="219" spans="1:2" ht="11.25" customHeight="1">
      <c r="A219" s="1"/>
      <c r="B219" s="1"/>
    </row>
    <row r="220" spans="1:2" ht="11.25" customHeight="1">
      <c r="A220" s="1"/>
      <c r="B220" s="1"/>
    </row>
    <row r="221" spans="1:2" ht="11.25" customHeight="1">
      <c r="A221" s="1"/>
      <c r="B221" s="1"/>
    </row>
    <row r="222" spans="1:2" ht="11.25" customHeight="1">
      <c r="A222" s="1"/>
      <c r="B222" s="1"/>
    </row>
    <row r="223" spans="1:2" ht="11.25" customHeight="1">
      <c r="A223" s="1"/>
      <c r="B223" s="1"/>
    </row>
    <row r="224" spans="1:2" ht="11.25" customHeight="1">
      <c r="A224" s="1"/>
      <c r="B224" s="1"/>
    </row>
    <row r="225" spans="1:2" ht="11.25" customHeight="1">
      <c r="A225" s="1"/>
      <c r="B225" s="1"/>
    </row>
    <row r="226" spans="1:2" ht="11.25" customHeight="1">
      <c r="A226" s="1"/>
      <c r="B226" s="1"/>
    </row>
    <row r="227" spans="1:2" ht="11.25" customHeight="1">
      <c r="A227" s="1"/>
      <c r="B227" s="1"/>
    </row>
    <row r="228" spans="1:2" ht="11.25" customHeight="1">
      <c r="A228" s="1"/>
      <c r="B228" s="1"/>
    </row>
    <row r="229" spans="1:2" ht="11.25" customHeight="1">
      <c r="A229" s="1"/>
      <c r="B229" s="1"/>
    </row>
    <row r="230" spans="1:2" ht="11.25" customHeight="1">
      <c r="A230" s="1"/>
      <c r="B230" s="1"/>
    </row>
    <row r="231" spans="1:2" ht="11.25" customHeight="1">
      <c r="A231" s="1"/>
      <c r="B231" s="1"/>
    </row>
    <row r="232" spans="1:2" ht="11.25" customHeight="1">
      <c r="A232" s="1"/>
      <c r="B232" s="1"/>
    </row>
    <row r="233" spans="1:2" ht="11.25" customHeight="1">
      <c r="A233" s="1"/>
      <c r="B233" s="1"/>
    </row>
    <row r="234" spans="1:2" ht="11.25" customHeight="1">
      <c r="A234" s="1"/>
      <c r="B234" s="1"/>
    </row>
    <row r="235" spans="1:2" ht="11.25" customHeight="1">
      <c r="A235" s="1"/>
      <c r="B235" s="1"/>
    </row>
    <row r="236" spans="1:2" ht="11.25" customHeight="1">
      <c r="A236" s="1"/>
      <c r="B236" s="1"/>
    </row>
    <row r="237" spans="1:2" ht="11.25" customHeight="1">
      <c r="A237" s="1"/>
      <c r="B237" s="1"/>
    </row>
    <row r="238" spans="1:2" ht="11.25" customHeight="1">
      <c r="A238" s="1"/>
      <c r="B238" s="1"/>
    </row>
    <row r="239" spans="1:2" ht="11.25" customHeight="1">
      <c r="A239" s="1"/>
      <c r="B239" s="1"/>
    </row>
    <row r="240" spans="1:2" ht="11.25" customHeight="1">
      <c r="A240" s="1"/>
      <c r="B240" s="1"/>
    </row>
    <row r="241" spans="1:2" ht="11.25" customHeight="1">
      <c r="A241" s="1"/>
      <c r="B241" s="1"/>
    </row>
    <row r="242" spans="1:2" ht="11.25" customHeight="1">
      <c r="A242" s="1"/>
      <c r="B242" s="1"/>
    </row>
    <row r="243" spans="1:2" ht="11.25" customHeight="1">
      <c r="A243" s="1"/>
      <c r="B243" s="1"/>
    </row>
    <row r="244" spans="1:2" ht="11.25" customHeight="1">
      <c r="A244" s="1"/>
      <c r="B244" s="1"/>
    </row>
    <row r="245" spans="1:2" ht="11.25" customHeight="1">
      <c r="A245" s="1"/>
      <c r="B245" s="1"/>
    </row>
    <row r="246" spans="1:2" ht="11.25" customHeight="1">
      <c r="A246" s="1"/>
      <c r="B246" s="1"/>
    </row>
    <row r="247" spans="1:2" ht="11.25" customHeight="1">
      <c r="A247" s="1"/>
      <c r="B247" s="1"/>
    </row>
    <row r="248" spans="1:2" ht="11.25" customHeight="1">
      <c r="A248" s="1"/>
      <c r="B248" s="1"/>
    </row>
    <row r="249" spans="1:2" ht="11.25" customHeight="1">
      <c r="A249" s="1"/>
      <c r="B249" s="1"/>
    </row>
    <row r="250" spans="1:2" ht="11.25" customHeight="1">
      <c r="A250" s="1"/>
      <c r="B250" s="1"/>
    </row>
    <row r="251" spans="1:2" ht="11.25" customHeight="1">
      <c r="A251" s="1"/>
      <c r="B251" s="1"/>
    </row>
    <row r="252" spans="1:2" ht="11.25" customHeight="1">
      <c r="A252" s="1"/>
      <c r="B252" s="1"/>
    </row>
    <row r="253" spans="1:2" ht="11.25" customHeight="1">
      <c r="A253" s="1"/>
      <c r="B253" s="1"/>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98" customWidth="1"/>
    <col min="2" max="2" width="90.7109375" style="1798" customWidth="1"/>
    <col min="3" max="4" width="9.140625" style="1798"/>
  </cols>
  <sheetData>
    <row r="1" spans="2:4" ht="11.25" customHeight="1">
      <c r="B1" s="26" t="s">
        <v>5411</v>
      </c>
    </row>
    <row r="2" spans="2:4" ht="90" customHeight="1">
      <c r="B2" s="27" t="s">
        <v>5412</v>
      </c>
    </row>
    <row r="3" spans="2:4" ht="67.5" customHeight="1">
      <c r="B3" s="27" t="s">
        <v>5413</v>
      </c>
    </row>
    <row r="4" spans="2:4" ht="33.75" customHeight="1">
      <c r="B4" s="27" t="s">
        <v>5414</v>
      </c>
    </row>
    <row r="5" spans="2:4" ht="11.25" customHeight="1">
      <c r="B5" s="27" t="s">
        <v>5415</v>
      </c>
    </row>
    <row r="6" spans="2:4" ht="22.5" customHeight="1">
      <c r="B6" s="27" t="s">
        <v>5416</v>
      </c>
    </row>
    <row r="7" spans="2:4" ht="22.5" customHeight="1">
      <c r="B7" s="27" t="s">
        <v>5417</v>
      </c>
    </row>
    <row r="8" spans="2:4" ht="22.5" customHeight="1">
      <c r="B8" s="27" t="s">
        <v>5418</v>
      </c>
    </row>
    <row r="9" spans="2:4" ht="22.5" customHeight="1">
      <c r="B9" s="27" t="s">
        <v>5419</v>
      </c>
    </row>
    <row r="10" spans="2:4" ht="56.25" customHeight="1">
      <c r="B10" s="27" t="s">
        <v>5420</v>
      </c>
    </row>
    <row r="11" spans="2:4" ht="12.75" customHeight="1">
      <c r="B11" s="81" t="s">
        <v>5421</v>
      </c>
    </row>
    <row r="12" spans="2:4" ht="11.25" customHeight="1">
      <c r="B12" s="26" t="s">
        <v>5422</v>
      </c>
    </row>
    <row r="13" spans="2:4" ht="22.5" customHeight="1">
      <c r="B13" s="27" t="s">
        <v>5423</v>
      </c>
    </row>
    <row r="14" spans="2:4" ht="67.5" customHeight="1">
      <c r="B14" s="27" t="s">
        <v>5424</v>
      </c>
    </row>
    <row r="15" spans="2:4" ht="22.5" customHeight="1">
      <c r="B15" s="27" t="s">
        <v>5425</v>
      </c>
    </row>
    <row r="16" spans="2:4" ht="11.25" customHeight="1">
      <c r="B16" s="26" t="s">
        <v>5426</v>
      </c>
      <c r="D16" s="33"/>
    </row>
    <row r="17" spans="1:2" ht="33.75" customHeight="1">
      <c r="B17" s="27" t="s">
        <v>5427</v>
      </c>
    </row>
    <row r="18" spans="1:2" ht="33.75" customHeight="1">
      <c r="B18" s="27" t="s">
        <v>5428</v>
      </c>
    </row>
    <row r="19" spans="1:2" ht="11.25" customHeight="1">
      <c r="B19" s="27" t="s">
        <v>5429</v>
      </c>
    </row>
    <row r="20" spans="1:2" ht="33.75" customHeight="1">
      <c r="B20" s="27" t="s">
        <v>5430</v>
      </c>
    </row>
    <row r="21" spans="1:2" ht="11.25" customHeight="1">
      <c r="B21" s="26" t="s">
        <v>5431</v>
      </c>
    </row>
    <row r="22" spans="1:2" ht="11.25" customHeight="1">
      <c r="B22" s="27" t="s">
        <v>5432</v>
      </c>
    </row>
    <row r="24" spans="1:2" ht="22.5" customHeight="1">
      <c r="B24" s="83" t="s">
        <v>5433</v>
      </c>
    </row>
    <row r="26" spans="1:2" ht="11.25" customHeight="1">
      <c r="B26" s="26" t="s">
        <v>5434</v>
      </c>
    </row>
    <row r="27" spans="1:2" ht="22.5" customHeight="1">
      <c r="B27" s="82" t="s">
        <v>366</v>
      </c>
    </row>
    <row r="28" spans="1:2" ht="56.25" customHeight="1">
      <c r="B28" s="82" t="s">
        <v>5435</v>
      </c>
    </row>
    <row r="29" spans="1:2" ht="11.25" customHeight="1">
      <c r="B29" s="131" t="s">
        <v>5436</v>
      </c>
    </row>
    <row r="30" spans="1:2" ht="22.5" customHeight="1">
      <c r="B30" s="82" t="s">
        <v>5437</v>
      </c>
    </row>
    <row r="32" spans="1:2" ht="11.25" customHeight="1">
      <c r="A32" s="109"/>
      <c r="B32" s="110" t="s">
        <v>5438</v>
      </c>
    </row>
    <row r="33" spans="1:2" ht="14.25" customHeight="1">
      <c r="A33" s="111">
        <v>1</v>
      </c>
      <c r="B33" s="112" t="s">
        <v>5439</v>
      </c>
    </row>
    <row r="34" spans="1:2" ht="14.25" customHeight="1">
      <c r="A34" s="111">
        <v>2</v>
      </c>
      <c r="B34" s="112" t="s">
        <v>5440</v>
      </c>
    </row>
    <row r="35" spans="1:2" ht="11.25" customHeight="1">
      <c r="B35" s="110" t="s">
        <v>5441</v>
      </c>
    </row>
    <row r="36" spans="1:2" ht="11.25" customHeight="1">
      <c r="B36" s="112" t="s">
        <v>5442</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86</vt:i4>
      </vt:variant>
      <vt:variant>
        <vt:lpstr>Именованные диапазоны</vt:lpstr>
      </vt:variant>
      <vt:variant>
        <vt:i4>1915</vt:i4>
      </vt:variant>
    </vt:vector>
  </HeadingPairs>
  <TitlesOfParts>
    <vt:vector size="2001"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ЭД</vt:lpstr>
      <vt:lpstr>Сведения об изменении</vt:lpstr>
      <vt:lpstr>Орган регулирования</vt:lpstr>
      <vt:lpstr>Перечень организаций</vt:lpstr>
      <vt:lpstr>Дела об установлении тарифов</vt:lpstr>
      <vt:lpstr>Привлечение к ответственности</vt:lpstr>
      <vt:lpstr>Комментарии</vt:lpstr>
      <vt:lpstr>Проверка</vt:lpstr>
      <vt:lpstr>et_union_hor</vt:lpstr>
      <vt:lpstr>TEHSHEET</vt:lpstr>
      <vt:lpstr>DATA_FORMS</vt:lpstr>
      <vt:lpstr>DATA_NPA</vt:lpstr>
      <vt:lpstr>Т-ТЭ | потр</vt:lpstr>
      <vt:lpstr>Т-ТЭ | предел</vt:lpstr>
      <vt:lpstr>Т-ТЭ | индикат</vt:lpstr>
      <vt:lpstr>Т-подкл(инд)</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Бубляева Анна Владимировна</cp:lastModifiedBy>
  <cp:lastPrinted>2013-08-29T08:11:20Z</cp:lastPrinted>
  <dcterms:created xsi:type="dcterms:W3CDTF">2004-05-21T07:18:45Z</dcterms:created>
  <dcterms:modified xsi:type="dcterms:W3CDTF">2024-07-15T13:21:06Z</dcterms:modified>
</cp:coreProperties>
</file>